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xeloncorp-my.sharepoint.com/personal/e087584_exelonds_com/Documents/Desktop/FERC/Formula Rate Filings/2023/Pepco/"/>
    </mc:Choice>
  </mc:AlternateContent>
  <xr:revisionPtr revIDLastSave="0" documentId="8_{57B1F4A2-B917-4FC5-99D2-5C8BBADDFEDF}" xr6:coauthVersionLast="47" xr6:coauthVersionMax="47" xr10:uidLastSave="{00000000-0000-0000-0000-000000000000}"/>
  <bookViews>
    <workbookView xWindow="28680" yWindow="-120" windowWidth="29040" windowHeight="15840" tabRatio="934" firstSheet="14" activeTab="24" xr2:uid="{00000000-000D-0000-FFFF-FFFF00000000}"/>
  </bookViews>
  <sheets>
    <sheet name="ATT H-9A" sheetId="1" r:id="rId1"/>
    <sheet name="1A - ADIT Summary" sheetId="41" r:id="rId2"/>
    <sheet name="1B - ADIT EOY" sheetId="42" r:id="rId3"/>
    <sheet name="1C - ADIT BOY" sheetId="49" r:id="rId4"/>
    <sheet name="1D - EDIT Rate Base Adjustment" sheetId="44" r:id="rId5"/>
    <sheet name="1E - ADIT Amortization" sheetId="45" r:id="rId6"/>
    <sheet name="1F - ADIT Remeasurement" sheetId="46" r:id="rId7"/>
    <sheet name="2 - Other Tax" sheetId="5" r:id="rId8"/>
    <sheet name="Prop taxes to function" sheetId="6" r:id="rId9"/>
    <sheet name="3 - Revenue Credits" sheetId="7" r:id="rId10"/>
    <sheet name="4 - 100 Basis Pt ROE" sheetId="8" r:id="rId11"/>
    <sheet name="5 - Cost Support 1" sheetId="9" r:id="rId12"/>
    <sheet name="5a Affiliate Allocations" sheetId="47" r:id="rId13"/>
    <sheet name="5b EBSC Affiliate Allocations" sheetId="48" r:id="rId14"/>
    <sheet name="6-Project Rev Req" sheetId="12" r:id="rId15"/>
    <sheet name="6A-Project True-up" sheetId="13" r:id="rId16"/>
    <sheet name="6B - True-Up Interest " sheetId="14" r:id="rId17"/>
    <sheet name="7 - Cap Add WS" sheetId="15" r:id="rId18"/>
    <sheet name="8 - Securitization" sheetId="16" r:id="rId19"/>
    <sheet name="9 - Rate Base" sheetId="17" r:id="rId20"/>
    <sheet name="9A - Gross Plant &amp; ARO" sheetId="18" r:id="rId21"/>
    <sheet name="10 - Merger Costs" sheetId="19" r:id="rId22"/>
    <sheet name="11A - O&amp;M" sheetId="32" r:id="rId23"/>
    <sheet name="11B - A&amp;G" sheetId="33" r:id="rId24"/>
    <sheet name="12- Depreciation Rates" sheetId="5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0" localSheetId="3">#REF!</definedName>
    <definedName name="\0" localSheetId="15">#REF!</definedName>
    <definedName name="\0" localSheetId="16">#REF!</definedName>
    <definedName name="\0">#REF!</definedName>
    <definedName name="\1" localSheetId="3">'[1]Header Data'!#REF!</definedName>
    <definedName name="\1">'[1]Header Data'!#REF!</definedName>
    <definedName name="\A" localSheetId="3">#REF!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 localSheetId="24">{"'Metretek HTML'!$A$7:$W$42"}</definedName>
    <definedName name="_________________H1" localSheetId="3">{"'Metretek HTML'!$A$7:$W$42"}</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24">{"'Metretek HTML'!$A$7:$W$42"}</definedName>
    <definedName name="______H1" localSheetId="3">{"'Metretek HTML'!$A$7:$W$42"}</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24">{"'Metretek HTML'!$A$7:$W$42"}</definedName>
    <definedName name="_____H1" localSheetId="3">{"'Metretek HTML'!$A$7:$W$42"}</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24">{"'Metretek HTML'!$A$7:$W$42"}</definedName>
    <definedName name="____H1" localSheetId="3">{"'Metretek HTML'!$A$7:$W$42"}</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24">{"'Metretek HTML'!$A$7:$W$42"}</definedName>
    <definedName name="___H1" localSheetId="3">{"'Metretek HTML'!$A$7:$W$42"}</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5" hidden="1">[15]Inputs!#REF!</definedName>
    <definedName name="__123Graph_B" localSheetId="16" hidden="1">[15]Inputs!#REF!</definedName>
    <definedName name="__123Graph_B" localSheetId="20" hidden="1">[15]Inputs!#REF!</definedName>
    <definedName name="__123Graph_B" hidden="1">[15]Inputs!#REF!</definedName>
    <definedName name="__123Graph_C" hidden="1">'[14]AL2 151'!#REF!</definedName>
    <definedName name="__123Graph_D" localSheetId="20"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24">{"'Metretek HTML'!$A$7:$W$42"}</definedName>
    <definedName name="__H1" localSheetId="3">{"'Metretek HTML'!$A$7:$W$42"}</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localSheetId="24" hidden="1">{"assumptions",#N/A,FALSE,"Scenario 1";"valuation",#N/A,FALSE,"Scenario 1"}</definedName>
    <definedName name="__tet12" localSheetId="3" hidden="1">{"assumptions",#N/A,FALSE,"Scenario 1";"valuation",#N/A,FALSE,"Scenario 1"}</definedName>
    <definedName name="__tet12" hidden="1">{"assumptions",#N/A,FALSE,"Scenario 1";"valuation",#N/A,FALSE,"Scenario 1"}</definedName>
    <definedName name="__tet5" localSheetId="24" hidden="1">{"assumptions",#N/A,FALSE,"Scenario 1";"valuation",#N/A,FALSE,"Scenario 1"}</definedName>
    <definedName name="__tet5" localSheetId="3"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21" hidden="1">[18]Masterdata!#REF!</definedName>
    <definedName name="_1K" localSheetId="15" hidden="1">[18]Masterdata!#REF!</definedName>
    <definedName name="_1K" localSheetId="14" hidden="1">[18]Masterdata!#REF!</definedName>
    <definedName name="_1K" localSheetId="20"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21" hidden="1">[18]Masterdata!#REF!</definedName>
    <definedName name="_2K" localSheetId="15" hidden="1">[18]Masterdata!#REF!</definedName>
    <definedName name="_2K" localSheetId="14" hidden="1">[18]Masterdata!#REF!</definedName>
    <definedName name="_2K" localSheetId="20" hidden="1">[18]Masterdata!#REF!</definedName>
    <definedName name="_2K" hidden="1">[18]Masterdata!#REF!</definedName>
    <definedName name="_2QTR">#REF!</definedName>
    <definedName name="_2S" localSheetId="21" hidden="1">[18]Masterdata!#REF!</definedName>
    <definedName name="_2S" localSheetId="15" hidden="1">[18]Masterdata!#REF!</definedName>
    <definedName name="_2S" localSheetId="14" hidden="1">[18]Masterdata!#REF!</definedName>
    <definedName name="_2S" localSheetId="20"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21" hidden="1">[18]Masterdata!#REF!</definedName>
    <definedName name="_4S" localSheetId="15" hidden="1">[18]Masterdata!#REF!</definedName>
    <definedName name="_4S" localSheetId="14" hidden="1">[18]Masterdata!#REF!</definedName>
    <definedName name="_4S" localSheetId="20"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1" hidden="1">{#N/A,#N/A,FALSE,"EMPPAY"}</definedName>
    <definedName name="_FEB01" localSheetId="24" hidden="1">{#N/A,#N/A,FALSE,"EMPPAY"}</definedName>
    <definedName name="_FEB01" localSheetId="3" hidden="1">{#N/A,#N/A,FALSE,"EMPPAY"}</definedName>
    <definedName name="_FEB01" localSheetId="15" hidden="1">{#N/A,#N/A,FALSE,"EMPPAY"}</definedName>
    <definedName name="_FEB01" localSheetId="16" hidden="1">{#N/A,#N/A,FALSE,"EMPPAY"}</definedName>
    <definedName name="_FEB01" localSheetId="14" hidden="1">{#N/A,#N/A,FALSE,"EMPPAY"}</definedName>
    <definedName name="_FEB01" hidden="1">{#N/A,#N/A,FALSE,"EMPPAY"}</definedName>
    <definedName name="_FED179">[19]DEPR96!#REF!</definedName>
    <definedName name="_Fill" localSheetId="21" hidden="1">#REF!</definedName>
    <definedName name="_Fill" localSheetId="15" hidden="1">#REF!</definedName>
    <definedName name="_Fill" localSheetId="14" hidden="1">#REF!</definedName>
    <definedName name="_Fill" localSheetId="19" hidden="1">#REF!</definedName>
    <definedName name="_Fill" localSheetId="20" hidden="1">#REF!</definedName>
    <definedName name="_Fill" hidden="1">#REF!</definedName>
    <definedName name="_Fill.1" hidden="1">#REF!</definedName>
    <definedName name="_xlnm._FilterDatabase" localSheetId="10" hidden="1">'4 - 100 Basis Pt ROE'!$A$1:$I$324</definedName>
    <definedName name="_xlnm._FilterDatabase" localSheetId="0" hidden="1">'ATT H-9A'!$A$1:$H$393</definedName>
    <definedName name="_gas2">#REF!</definedName>
    <definedName name="_gas2006">#REF!</definedName>
    <definedName name="_H1" localSheetId="24">{"'Metretek HTML'!$A$7:$W$42"}</definedName>
    <definedName name="_H1" localSheetId="3">{"'Metretek HTML'!$A$7:$W$42"}</definedName>
    <definedName name="_H1" localSheetId="15">{"'Metretek HTML'!$A$7:$W$42"}</definedName>
    <definedName name="_H1" localSheetId="16">{"'Metretek HTML'!$A$7:$W$42"}</definedName>
    <definedName name="_H1">{"'Metretek HTML'!$A$7:$W$42"}</definedName>
    <definedName name="_JAN01" localSheetId="21" hidden="1">{#N/A,#N/A,FALSE,"EMPPAY"}</definedName>
    <definedName name="_JAN01" localSheetId="24" hidden="1">{#N/A,#N/A,FALSE,"EMPPAY"}</definedName>
    <definedName name="_JAN01" localSheetId="3" hidden="1">{#N/A,#N/A,FALSE,"EMPPAY"}</definedName>
    <definedName name="_JAN01" localSheetId="15" hidden="1">{#N/A,#N/A,FALSE,"EMPPAY"}</definedName>
    <definedName name="_JAN01" localSheetId="16" hidden="1">{#N/A,#N/A,FALSE,"EMPPAY"}</definedName>
    <definedName name="_JAN01" localSheetId="14" hidden="1">{#N/A,#N/A,FALSE,"EMPPAY"}</definedName>
    <definedName name="_JAN01" hidden="1">{#N/A,#N/A,FALSE,"EMPPAY"}</definedName>
    <definedName name="_JAN2001" localSheetId="21" hidden="1">{#N/A,#N/A,FALSE,"EMPPAY"}</definedName>
    <definedName name="_JAN2001" localSheetId="24" hidden="1">{#N/A,#N/A,FALSE,"EMPPAY"}</definedName>
    <definedName name="_JAN2001" localSheetId="3" hidden="1">{#N/A,#N/A,FALSE,"EMPPAY"}</definedName>
    <definedName name="_JAN2001" localSheetId="15" hidden="1">{#N/A,#N/A,FALSE,"EMPPAY"}</definedName>
    <definedName name="_JAN2001" localSheetId="16" hidden="1">{#N/A,#N/A,FALSE,"EMPPAY"}</definedName>
    <definedName name="_JAN2001" localSheetId="14"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20" hidden="1">'[20]Wage SPG 99'!#REF!</definedName>
    <definedName name="_Key1" hidden="1">'[20]Wage SPG 99'!#REF!</definedName>
    <definedName name="_Key2" localSheetId="20"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21" hidden="1">0</definedName>
    <definedName name="_Order2" localSheetId="15" hidden="1">0</definedName>
    <definedName name="_Order2" localSheetId="14" hidden="1">0</definedName>
    <definedName name="_Order2" localSheetId="19" hidden="1">0</definedName>
    <definedName name="_Order2" localSheetId="20"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1" hidden="1">{#N/A,#N/A,FALSE,"Monthly SAIFI";#N/A,#N/A,FALSE,"Yearly SAIFI";#N/A,#N/A,FALSE,"Monthly CAIDI";#N/A,#N/A,FALSE,"Yearly CAIDI";#N/A,#N/A,FALSE,"Monthly SAIDI";#N/A,#N/A,FALSE,"Yearly SAIDI";#N/A,#N/A,FALSE,"Monthly MAIFI";#N/A,#N/A,FALSE,"Yearly MAIFI";#N/A,#N/A,FALSE,"Monthly Cust &gt;=4 Int"}</definedName>
    <definedName name="_ryr56565" localSheetId="24" hidden="1">{#N/A,#N/A,FALSE,"Monthly SAIFI";#N/A,#N/A,FALSE,"Yearly SAIFI";#N/A,#N/A,FALSE,"Monthly CAIDI";#N/A,#N/A,FALSE,"Yearly CAIDI";#N/A,#N/A,FALSE,"Monthly SAIDI";#N/A,#N/A,FALSE,"Yearly SAIDI";#N/A,#N/A,FALSE,"Monthly MAIFI";#N/A,#N/A,FALSE,"Yearly MAIFI";#N/A,#N/A,FALSE,"Monthly Cust &gt;=4 Int"}</definedName>
    <definedName name="_ryr56565" localSheetId="3"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localSheetId="24" hidden="1">{"assumptions",#N/A,FALSE,"Scenario 1";"valuation",#N/A,FALSE,"Scenario 1"}</definedName>
    <definedName name="_tet12" localSheetId="3" hidden="1">{"assumptions",#N/A,FALSE,"Scenario 1";"valuation",#N/A,FALSE,"Scenario 1"}</definedName>
    <definedName name="_tet12" hidden="1">{"assumptions",#N/A,FALSE,"Scenario 1";"valuation",#N/A,FALSE,"Scenario 1"}</definedName>
    <definedName name="_tet5" localSheetId="24" hidden="1">{"assumptions",#N/A,FALSE,"Scenario 1";"valuation",#N/A,FALSE,"Scenario 1"}</definedName>
    <definedName name="_tet5" localSheetId="3"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21" hidden="1">{#N/A,#N/A,FALSE,"EMPPAY"}</definedName>
    <definedName name="A" localSheetId="3">#REF!</definedName>
    <definedName name="A" localSheetId="15" hidden="1">{#N/A,#N/A,FALSE,"EMPPAY"}</definedName>
    <definedName name="A" localSheetId="14" hidden="1">{#N/A,#N/A,FALSE,"EMPPAY"}</definedName>
    <definedName name="A" localSheetId="19" hidden="1">{#N/A,#N/A,FALSE,"EMPPAY"}</definedName>
    <definedName name="a" localSheetId="20">'9A - Gross Plant &amp; ARO'!$E$31</definedName>
    <definedName name="A">#REF!</definedName>
    <definedName name="a.1" localSheetId="24" hidden="1">{"LBO Summary",#N/A,FALSE,"Summary"}</definedName>
    <definedName name="a.1" localSheetId="3" hidden="1">{"LBO Summary",#N/A,FALSE,"Summary"}</definedName>
    <definedName name="a.1" hidden="1">{"LBO Summary",#N/A,FALSE,"Summary"}</definedName>
    <definedName name="AA">#REF!</definedName>
    <definedName name="AA.print">#REF!</definedName>
    <definedName name="aaa" localSheetId="21" hidden="1">{#N/A,#N/A,FALSE,"O&amp;M by processes";#N/A,#N/A,FALSE,"Elec Act vs Bud";#N/A,#N/A,FALSE,"G&amp;A";#N/A,#N/A,FALSE,"BGS";#N/A,#N/A,FALSE,"Res Cost"}</definedName>
    <definedName name="aaa" localSheetId="24"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24"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24">{"'Metretek HTML'!$A$7:$W$42"}</definedName>
    <definedName name="ab" localSheetId="3">{"'Metretek HTML'!$A$7:$W$42"}</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 localSheetId="3">[19]DEPR96!#REF!</definedName>
    <definedName name="AC">[19]DEPR96!#REF!</definedName>
    <definedName name="AC_255">'[22]AC 255'!$A$1:$M$32</definedName>
    <definedName name="AC_282">[23]December!#REF!</definedName>
    <definedName name="Accounts_Payable" localSheetId="3">#REF!</definedName>
    <definedName name="Accounts_Payable">#REF!</definedName>
    <definedName name="Accounts_Receivable" localSheetId="3">#REF!</definedName>
    <definedName name="Accounts_Receivable">#REF!</definedName>
    <definedName name="Accounts_Receivable_Customer___Net" localSheetId="3">#REF!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 localSheetId="3">#REF!</definedName>
    <definedName name="ACCTTextLen">#REF!</definedName>
    <definedName name="Accum._Other_Comprehensive_Income" localSheetId="3">#REF!</definedName>
    <definedName name="Accum._Other_Comprehensive_Income">#REF!</definedName>
    <definedName name="ACQ" localSheetId="3">[19]DEPR96!#REF!</definedName>
    <definedName name="ACQ">[19]DEPR96!#REF!</definedName>
    <definedName name="ACRS" localSheetId="3">#REF!</definedName>
    <definedName name="ACRS">#REF!</definedName>
    <definedName name="Active1" localSheetId="3">#REF!</definedName>
    <definedName name="Active1">#REF!</definedName>
    <definedName name="Active2">#REF!</definedName>
    <definedName name="ActivityType">'[24]Activity Type'!$1:$1048576</definedName>
    <definedName name="ACTTextLen" localSheetId="3">#REF!</definedName>
    <definedName name="ACTTextLen">#REF!</definedName>
    <definedName name="Actual">[25]Assumptions!$E$52</definedName>
    <definedName name="adds2008" localSheetId="3">#REF!</definedName>
    <definedName name="adds2008">#REF!</definedName>
    <definedName name="adfsadfds" localSheetId="21" hidden="1">{#N/A,#N/A,FALSE,"Monthly SAIFI";#N/A,#N/A,FALSE,"Yearly SAIFI";#N/A,#N/A,FALSE,"Monthly CAIDI";#N/A,#N/A,FALSE,"Yearly CAIDI";#N/A,#N/A,FALSE,"Monthly SAIDI";#N/A,#N/A,FALSE,"Yearly SAIDI";#N/A,#N/A,FALSE,"Monthly MAIFI";#N/A,#N/A,FALSE,"Yearly MAIFI";#N/A,#N/A,FALSE,"Monthly Cust &gt;=4 Int"}</definedName>
    <definedName name="adfsadfds" localSheetId="24" hidden="1">{#N/A,#N/A,FALSE,"Monthly SAIFI";#N/A,#N/A,FALSE,"Yearly SAIFI";#N/A,#N/A,FALSE,"Monthly CAIDI";#N/A,#N/A,FALSE,"Yearly CAIDI";#N/A,#N/A,FALSE,"Monthly SAIDI";#N/A,#N/A,FALSE,"Yearly SAIDI";#N/A,#N/A,FALSE,"Monthly MAIFI";#N/A,#N/A,FALSE,"Yearly MAIFI";#N/A,#N/A,FALSE,"Monthly Cust &gt;=4 Int"}</definedName>
    <definedName name="adfsadfds" localSheetId="3"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 localSheetId="3">#REF!</definedName>
    <definedName name="Adjustments_to_Reconcile_Net_Income_to_Net_Cash">#REF!</definedName>
    <definedName name="Admin___Other_Labor_included_in_O_M" localSheetId="3">#REF!</definedName>
    <definedName name="Admin___Other_Labor_included_in_O_M">#REF!</definedName>
    <definedName name="ads" localSheetId="3">#REF!</definedName>
    <definedName name="ads">#REF!</definedName>
    <definedName name="ADTL">'[26]C. Input'!$F$144</definedName>
    <definedName name="Affiliate_Interest_Expense__Revenue" localSheetId="3">#REF!</definedName>
    <definedName name="Affiliate_Interest_Expense__Revenue">#REF!</definedName>
    <definedName name="AFUDC_Credit_Interest_Capitalized" localSheetId="3">#REF!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 localSheetId="3">#REF!</definedName>
    <definedName name="AG1_01">#REF!</definedName>
    <definedName name="AG1_01B" localSheetId="3">#REF!</definedName>
    <definedName name="AG1_01B">#REF!</definedName>
    <definedName name="AG2_01" localSheetId="3">#REF!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24" hidden="1">{#N/A,#N/A,FALSE,"Aging Summary";#N/A,#N/A,FALSE,"Ratio Analysis";#N/A,#N/A,FALSE,"Test 120 Day Accts";#N/A,#N/A,FALSE,"Tickmarks"}</definedName>
    <definedName name="aging" localSheetId="3" hidden="1">{#N/A,#N/A,FALSE,"Aging Summary";#N/A,#N/A,FALSE,"Ratio Analysis";#N/A,#N/A,FALSE,"Test 120 Day Accts";#N/A,#N/A,FALSE,"Tickmarks"}</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 localSheetId="3">#REF!</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 localSheetId="3">#REF!</definedName>
    <definedName name="ALERT1">#REF!</definedName>
    <definedName name="ALERT2" localSheetId="3">#REF!</definedName>
    <definedName name="ALERT2">#REF!</definedName>
    <definedName name="ALERT3" localSheetId="3">#REF!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 localSheetId="3">#REF!</definedName>
    <definedName name="ALLOC">#REF!</definedName>
    <definedName name="Allocator.gross.plant">'[30]Appendix A'!$H$30</definedName>
    <definedName name="Allocator.net.plant">'[30]Appendix A'!$H$33</definedName>
    <definedName name="Allocator.wages.salary">'[30]Appendix A'!$H$18</definedName>
    <definedName name="ALLOW" localSheetId="3">#REF!</definedName>
    <definedName name="ALLOW">#REF!</definedName>
    <definedName name="Allow_for_Funds_Used_During_Const." localSheetId="3">#REF!</definedName>
    <definedName name="Allow_for_Funds_Used_During_Const.">#REF!</definedName>
    <definedName name="ALLRD">[29]ALL!$C$25</definedName>
    <definedName name="ALLSKP">[29]ALL!$E$25</definedName>
    <definedName name="ALLYRS_MESSAGE" localSheetId="3">#REF!</definedName>
    <definedName name="ALLYRS_MESSAGE">#REF!</definedName>
    <definedName name="ALOC" localSheetId="3">#REF!</definedName>
    <definedName name="ALOC">#REF!</definedName>
    <definedName name="ALOC_2" localSheetId="3">#REF!</definedName>
    <definedName name="ALOC_2">#REF!</definedName>
    <definedName name="alsdfa" localSheetId="21" hidden="1">{#N/A,#N/A,FALSE,"Monthly SAIFI";#N/A,#N/A,FALSE,"Yearly SAIFI";#N/A,#N/A,FALSE,"Monthly CAIDI";#N/A,#N/A,FALSE,"Yearly CAIDI";#N/A,#N/A,FALSE,"Monthly SAIDI";#N/A,#N/A,FALSE,"Yearly SAIDI";#N/A,#N/A,FALSE,"Monthly MAIFI";#N/A,#N/A,FALSE,"Yearly MAIFI";#N/A,#N/A,FALSE,"Monthly Cust &gt;=4 Int"}</definedName>
    <definedName name="alsdfa" localSheetId="24" hidden="1">{#N/A,#N/A,FALSE,"Monthly SAIFI";#N/A,#N/A,FALSE,"Yearly SAIFI";#N/A,#N/A,FALSE,"Monthly CAIDI";#N/A,#N/A,FALSE,"Yearly CAIDI";#N/A,#N/A,FALSE,"Monthly SAIDI";#N/A,#N/A,FALSE,"Yearly SAIDI";#N/A,#N/A,FALSE,"Monthly MAIFI";#N/A,#N/A,FALSE,"Yearly MAIFI";#N/A,#N/A,FALSE,"Monthly Cust &gt;=4 Int"}</definedName>
    <definedName name="alsdfa" localSheetId="3"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 localSheetId="3">#REF!</definedName>
    <definedName name="AMERICA">#REF!</definedName>
    <definedName name="AMOR_BOM" localSheetId="3">#REF!</definedName>
    <definedName name="AMOR_BOM">#REF!</definedName>
    <definedName name="AMOR_EOM" localSheetId="3">#REF!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 localSheetId="3">#REF!</definedName>
    <definedName name="Amortization___Other_Assets">#REF!</definedName>
    <definedName name="AMOUNT" localSheetId="3">#REF!</definedName>
    <definedName name="AMOUNT">#REF!</definedName>
    <definedName name="ANNSUM" localSheetId="3">#REF!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 localSheetId="3">#REF!</definedName>
    <definedName name="APR_13_WRKSHT_SUM">#REF!</definedName>
    <definedName name="apr2pre" localSheetId="3">#REF!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24">{"'Metretek HTML'!$A$7:$W$42"}</definedName>
    <definedName name="AS" localSheetId="3">{"'Metretek HTML'!$A$7:$W$42"}</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[31]Pepco!#REF!</definedName>
    <definedName name="asdf" localSheetId="21" hidden="1">{#N/A,#N/A,FALSE,"Monthly SAIFI";#N/A,#N/A,FALSE,"Yearly SAIFI";#N/A,#N/A,FALSE,"Monthly CAIDI";#N/A,#N/A,FALSE,"Yearly CAIDI";#N/A,#N/A,FALSE,"Monthly SAIDI";#N/A,#N/A,FALSE,"Yearly SAIDI";#N/A,#N/A,FALSE,"Monthly MAIFI";#N/A,#N/A,FALSE,"Yearly MAIFI";#N/A,#N/A,FALSE,"Monthly Cust &gt;=4 Int"}</definedName>
    <definedName name="asdf" localSheetId="24" hidden="1">{#N/A,#N/A,FALSE,"Monthly SAIFI";#N/A,#N/A,FALSE,"Yearly SAIFI";#N/A,#N/A,FALSE,"Monthly CAIDI";#N/A,#N/A,FALSE,"Yearly CAIDI";#N/A,#N/A,FALSE,"Monthly SAIDI";#N/A,#N/A,FALSE,"Yearly SAIDI";#N/A,#N/A,FALSE,"Monthly MAIFI";#N/A,#N/A,FALSE,"Yearly MAIFI";#N/A,#N/A,FALSE,"Monthly Cust &gt;=4 Int"}</definedName>
    <definedName name="asdf" localSheetId="3"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1" hidden="1">{#N/A,#N/A,FALSE,"Monthly SAIFI";#N/A,#N/A,FALSE,"Yearly SAIFI";#N/A,#N/A,FALSE,"Monthly CAIDI";#N/A,#N/A,FALSE,"Yearly CAIDI";#N/A,#N/A,FALSE,"Monthly SAIDI";#N/A,#N/A,FALSE,"Yearly SAIDI";#N/A,#N/A,FALSE,"Monthly MAIFI";#N/A,#N/A,FALSE,"Yearly MAIFI";#N/A,#N/A,FALSE,"Monthly Cust &gt;=4 Int"}</definedName>
    <definedName name="asdfasdfasdfasdfsdfa" localSheetId="24" hidden="1">{#N/A,#N/A,FALSE,"Monthly SAIFI";#N/A,#N/A,FALSE,"Yearly SAIFI";#N/A,#N/A,FALSE,"Monthly CAIDI";#N/A,#N/A,FALSE,"Yearly CAIDI";#N/A,#N/A,FALSE,"Monthly SAIDI";#N/A,#N/A,FALSE,"Yearly SAIDI";#N/A,#N/A,FALSE,"Monthly MAIFI";#N/A,#N/A,FALSE,"Yearly MAIFI";#N/A,#N/A,FALSE,"Monthly Cust &gt;=4 Int"}</definedName>
    <definedName name="asdfasdfasdfasdfsdfa" localSheetId="3"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1" hidden="1">{#N/A,#N/A,FALSE,"Monthly SAIFI";#N/A,#N/A,FALSE,"Yearly SAIFI";#N/A,#N/A,FALSE,"Monthly CAIDI";#N/A,#N/A,FALSE,"Yearly CAIDI";#N/A,#N/A,FALSE,"Monthly SAIDI";#N/A,#N/A,FALSE,"Yearly SAIDI";#N/A,#N/A,FALSE,"Monthly MAIFI";#N/A,#N/A,FALSE,"Yearly MAIFI";#N/A,#N/A,FALSE,"Monthly Cust &gt;=4 Int"}</definedName>
    <definedName name="ashaita" localSheetId="24" hidden="1">{#N/A,#N/A,FALSE,"Monthly SAIFI";#N/A,#N/A,FALSE,"Yearly SAIFI";#N/A,#N/A,FALSE,"Monthly CAIDI";#N/A,#N/A,FALSE,"Yearly CAIDI";#N/A,#N/A,FALSE,"Monthly SAIDI";#N/A,#N/A,FALSE,"Yearly SAIDI";#N/A,#N/A,FALSE,"Monthly MAIFI";#N/A,#N/A,FALSE,"Yearly MAIFI";#N/A,#N/A,FALSE,"Monthly Cust &gt;=4 Int"}</definedName>
    <definedName name="ashaita" localSheetId="3"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21" hidden="1">{#N/A,#N/A,FALSE,"Monthly SAIFI";#N/A,#N/A,FALSE,"Yearly SAIFI";#N/A,#N/A,FALSE,"Monthly CAIDI";#N/A,#N/A,FALSE,"Yearly CAIDI";#N/A,#N/A,FALSE,"Monthly SAIDI";#N/A,#N/A,FALSE,"Yearly SAIDI";#N/A,#N/A,FALSE,"Monthly MAIFI";#N/A,#N/A,FALSE,"Yearly MAIFI";#N/A,#N/A,FALSE,"Monthly Cust &gt;=4 Int"}</definedName>
    <definedName name="assd" localSheetId="24" hidden="1">{#N/A,#N/A,FALSE,"Monthly SAIFI";#N/A,#N/A,FALSE,"Yearly SAIFI";#N/A,#N/A,FALSE,"Monthly CAIDI";#N/A,#N/A,FALSE,"Yearly CAIDI";#N/A,#N/A,FALSE,"Monthly SAIDI";#N/A,#N/A,FALSE,"Yearly SAIDI";#N/A,#N/A,FALSE,"Monthly MAIFI";#N/A,#N/A,FALSE,"Yearly MAIFI";#N/A,#N/A,FALSE,"Monthly Cust &gt;=4 Int"}</definedName>
    <definedName name="assd" localSheetId="3"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 localSheetId="3">#REF!</definedName>
    <definedName name="ASSUMPT">#REF!</definedName>
    <definedName name="AUG" localSheetId="3">#REF!</definedName>
    <definedName name="AUG">#REF!</definedName>
    <definedName name="AV.FM.1..adjusted..print" localSheetId="3">#REF!</definedName>
    <definedName name="AV.FM.1..adjusted..print">#REF!</definedName>
    <definedName name="AV.FM.1.print">#REF!</definedName>
    <definedName name="AVG">#REF!</definedName>
    <definedName name="avoidint">"V2001-12-31"</definedName>
    <definedName name="az" localSheetId="24">{"'Metretek HTML'!$A$7:$W$42"}</definedName>
    <definedName name="az" localSheetId="3">{"'Metretek HTML'!$A$7:$W$42"}</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 localSheetId="3">#REF!</definedName>
    <definedName name="Balance_Sheet_Assets">#REF!</definedName>
    <definedName name="Balance_Sheet_Liabilities___Capital" localSheetId="3">#REF!</definedName>
    <definedName name="Balance_Sheet_Liabilities___Capital">#REF!</definedName>
    <definedName name="BalanceSheet" localSheetId="3">#REF!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 localSheetId="3">#REF!</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 localSheetId="3">#REF!</definedName>
    <definedName name="BB">#REF!</definedName>
    <definedName name="BB.print" localSheetId="3">#REF!</definedName>
    <definedName name="BB.print">#REF!</definedName>
    <definedName name="bbb" localSheetId="21" hidden="1">{#N/A,#N/A,FALSE,"O&amp;M by processes";#N/A,#N/A,FALSE,"Elec Act vs Bud";#N/A,#N/A,FALSE,"G&amp;A";#N/A,#N/A,FALSE,"BGS";#N/A,#N/A,FALSE,"Res Cost"}</definedName>
    <definedName name="bbb" localSheetId="24"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24"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24"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24"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 localSheetId="3">#REF!</definedName>
    <definedName name="BEGINT">#REF!</definedName>
    <definedName name="below">OFFSET(!A1,1,0)</definedName>
    <definedName name="benefit" localSheetId="3">#REF!</definedName>
    <definedName name="benefit">#REF!</definedName>
    <definedName name="Benefits">350</definedName>
    <definedName name="beny" localSheetId="21" hidden="1">{#N/A,#N/A,FALSE,"Monthly SAIFI";#N/A,#N/A,FALSE,"Yearly SAIFI";#N/A,#N/A,FALSE,"Monthly CAIDI";#N/A,#N/A,FALSE,"Yearly CAIDI";#N/A,#N/A,FALSE,"Monthly SAIDI";#N/A,#N/A,FALSE,"Yearly SAIDI";#N/A,#N/A,FALSE,"Monthly MAIFI";#N/A,#N/A,FALSE,"Yearly MAIFI";#N/A,#N/A,FALSE,"Monthly Cust &gt;=4 Int"}</definedName>
    <definedName name="beny" localSheetId="24" hidden="1">{#N/A,#N/A,FALSE,"Monthly SAIFI";#N/A,#N/A,FALSE,"Yearly SAIFI";#N/A,#N/A,FALSE,"Monthly CAIDI";#N/A,#N/A,FALSE,"Yearly CAIDI";#N/A,#N/A,FALSE,"Monthly SAIDI";#N/A,#N/A,FALSE,"Yearly SAIDI";#N/A,#N/A,FALSE,"Monthly MAIFI";#N/A,#N/A,FALSE,"Yearly MAIFI";#N/A,#N/A,FALSE,"Monthly Cust &gt;=4 Int"}</definedName>
    <definedName name="beny" localSheetId="3"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5" hidden="1">#REF!</definedName>
    <definedName name="BEx0017DGUEDPCFJUPUZOOLJCS2B" localSheetId="16" hidden="1">#REF!</definedName>
    <definedName name="BEx0017DGUEDPCFJUPUZOOLJCS2B" localSheetId="20" hidden="1">#REF!</definedName>
    <definedName name="BEx0017DGUEDPCFJUPUZOOLJCS2B" hidden="1">#REF!</definedName>
    <definedName name="BEx001CNWHJ5RULCSFM36ZCGJ1UH" localSheetId="20" hidden="1">#REF!</definedName>
    <definedName name="BEx001CNWHJ5RULCSFM36ZCGJ1UH" hidden="1">#REF!</definedName>
    <definedName name="BEx004791UAJIJSN57OT7YBLNP82" localSheetId="20" hidden="1">#REF!</definedName>
    <definedName name="BEx004791UAJIJSN57OT7YBLNP82" hidden="1">#REF!</definedName>
    <definedName name="BEx008P2NVFDLBHL7IZ5WTMVOQ1F" localSheetId="20" hidden="1">#REF!</definedName>
    <definedName name="BEx008P2NVFDLBHL7IZ5WTMVOQ1F" hidden="1">#REF!</definedName>
    <definedName name="BEx009G00IN0JUIAQ4WE9NHTMQE2" localSheetId="20" hidden="1">#REF!</definedName>
    <definedName name="BEx009G00IN0JUIAQ4WE9NHTMQE2" hidden="1">#REF!</definedName>
    <definedName name="BEx00DXTY2JDVGWQKV8H7FG4SV30" localSheetId="20" hidden="1">#REF!</definedName>
    <definedName name="BEx00DXTY2JDVGWQKV8H7FG4SV30" hidden="1">#REF!</definedName>
    <definedName name="BEx00GHLTYRH5N2S6P78YW1CD30N" localSheetId="20" hidden="1">#REF!</definedName>
    <definedName name="BEx00GHLTYRH5N2S6P78YW1CD30N" hidden="1">#REF!</definedName>
    <definedName name="BEx00JC31DY11L45SEU4B10BIN6W" localSheetId="20" hidden="1">#REF!</definedName>
    <definedName name="BEx00JC31DY11L45SEU4B10BIN6W" hidden="1">#REF!</definedName>
    <definedName name="BEx00KZHZBHP3TDV1YMX4B19B95O" localSheetId="20" hidden="1">#REF!</definedName>
    <definedName name="BEx00KZHZBHP3TDV1YMX4B19B95O" hidden="1">#REF!</definedName>
    <definedName name="BEx00MBY8XXUOHIZ4LHXHPD7WYD5" localSheetId="20" hidden="1">#REF!</definedName>
    <definedName name="BEx00MBY8XXUOHIZ4LHXHPD7WYD5" hidden="1">#REF!</definedName>
    <definedName name="BEx00O4PAWETUBT0XVI1C4OHM15U" localSheetId="20" hidden="1">'[38]10.08.5 - 2008 Capital - TDBU'!#REF!</definedName>
    <definedName name="BEx00O4PAWETUBT0XVI1C4OHM15U" hidden="1">'[38]10.08.5 - 2008 Capital - TDBU'!#REF!</definedName>
    <definedName name="BEx01HY6E3GJ66ABU5ABN26V6Q13" localSheetId="15" hidden="1">#REF!</definedName>
    <definedName name="BEx01HY6E3GJ66ABU5ABN26V6Q13" localSheetId="16" hidden="1">#REF!</definedName>
    <definedName name="BEx01HY6E3GJ66ABU5ABN26V6Q13" localSheetId="20" hidden="1">#REF!</definedName>
    <definedName name="BEx01HY6E3GJ66ABU5ABN26V6Q13" hidden="1">#REF!</definedName>
    <definedName name="BEx01PQPVA98GRAAKX3HEZZ0XK5C" localSheetId="20" hidden="1">#REF!</definedName>
    <definedName name="BEx01PQPVA98GRAAKX3HEZZ0XK5C" hidden="1">#REF!</definedName>
    <definedName name="BEx01PW5YQKEGAR8JDDI5OARYXDF" localSheetId="20" hidden="1">#REF!</definedName>
    <definedName name="BEx01PW5YQKEGAR8JDDI5OARYXDF" hidden="1">#REF!</definedName>
    <definedName name="BEx01XJ94SHJ1YQ7ORPW0RQGKI2H" localSheetId="20" hidden="1">#REF!</definedName>
    <definedName name="BEx01XJ94SHJ1YQ7ORPW0RQGKI2H" hidden="1">#REF!</definedName>
    <definedName name="BEx0262TTS9LPE4KF6VUW72201AB" localSheetId="20" hidden="1">#REF!</definedName>
    <definedName name="BEx0262TTS9LPE4KF6VUW72201AB" hidden="1">#REF!</definedName>
    <definedName name="BEx02PPH4OWYB9ZB2611OC9DA9MZ" localSheetId="20" hidden="1">#REF!</definedName>
    <definedName name="BEx02PPH4OWYB9ZB2611OC9DA9MZ" hidden="1">#REF!</definedName>
    <definedName name="BEx02Q08R9G839Q4RFGG9026C7PX" localSheetId="20" hidden="1">#REF!</definedName>
    <definedName name="BEx02Q08R9G839Q4RFGG9026C7PX" hidden="1">#REF!</definedName>
    <definedName name="BEx02SEL3Z1QWGAHXDPUA9WLTTPS" localSheetId="20" hidden="1">#REF!</definedName>
    <definedName name="BEx02SEL3Z1QWGAHXDPUA9WLTTPS" hidden="1">#REF!</definedName>
    <definedName name="BEx02Y3KJZH5BGDM9QEZ1PVVI114" localSheetId="20" hidden="1">#REF!</definedName>
    <definedName name="BEx02Y3KJZH5BGDM9QEZ1PVVI114" hidden="1">#REF!</definedName>
    <definedName name="BEx0313GRLLASDTVPW5DHTXHE74M" localSheetId="20" hidden="1">#REF!</definedName>
    <definedName name="BEx0313GRLLASDTVPW5DHTXHE74M" hidden="1">#REF!</definedName>
    <definedName name="BEx1F0SOZ3H5XUHXD7O01TCR8T6J" localSheetId="20" hidden="1">#REF!</definedName>
    <definedName name="BEx1F0SOZ3H5XUHXD7O01TCR8T6J" hidden="1">#REF!</definedName>
    <definedName name="BEx1F9HL824UCNCVZ2U62J4KZCX8" localSheetId="20" hidden="1">#REF!</definedName>
    <definedName name="BEx1F9HL824UCNCVZ2U62J4KZCX8" hidden="1">#REF!</definedName>
    <definedName name="BEx1FEVSJKTI1Q1Z874QZVFSJSVA" localSheetId="20" hidden="1">#REF!</definedName>
    <definedName name="BEx1FEVSJKTI1Q1Z874QZVFSJSVA" hidden="1">#REF!</definedName>
    <definedName name="BEx1FGDRUHHLI1GBHELT4PK0LY4V" localSheetId="20" hidden="1">#REF!</definedName>
    <definedName name="BEx1FGDRUHHLI1GBHELT4PK0LY4V" hidden="1">#REF!</definedName>
    <definedName name="BEx1FJZ7GKO99IYTP6GGGF7EUL3Z" localSheetId="20" hidden="1">#REF!</definedName>
    <definedName name="BEx1FJZ7GKO99IYTP6GGGF7EUL3Z" hidden="1">#REF!</definedName>
    <definedName name="BEx1FXBADB31WUEH8U617C5F40X9" localSheetId="20" hidden="1">#REF!</definedName>
    <definedName name="BEx1FXBADB31WUEH8U617C5F40X9" hidden="1">#REF!</definedName>
    <definedName name="BEx1FZV2CM77TBH1R6YYV9P06KA2" localSheetId="20" hidden="1">#REF!</definedName>
    <definedName name="BEx1FZV2CM77TBH1R6YYV9P06KA2" hidden="1">#REF!</definedName>
    <definedName name="BEx1G59AY8195JTUM6P18VXUFJ3E" localSheetId="20" hidden="1">#REF!</definedName>
    <definedName name="BEx1G59AY8195JTUM6P18VXUFJ3E" hidden="1">#REF!</definedName>
    <definedName name="BEx1GRFPRSO5UT952RBFGUHDUZN5" localSheetId="20" hidden="1">#REF!</definedName>
    <definedName name="BEx1GRFPRSO5UT952RBFGUHDUZN5" hidden="1">#REF!</definedName>
    <definedName name="BEx1GVMRHFXUP6XYYY9NR12PV5TF" localSheetId="20" hidden="1">#REF!</definedName>
    <definedName name="BEx1GVMRHFXUP6XYYY9NR12PV5TF" hidden="1">#REF!</definedName>
    <definedName name="BEx1H6KIT7BHUH6MDDWC935V9N47" localSheetId="20" hidden="1">#REF!</definedName>
    <definedName name="BEx1H6KIT7BHUH6MDDWC935V9N47" hidden="1">#REF!</definedName>
    <definedName name="BEx1HDGOOJ3SKHYMWUZJ1P0RQZ9N" localSheetId="20" hidden="1">#REF!</definedName>
    <definedName name="BEx1HDGOOJ3SKHYMWUZJ1P0RQZ9N" hidden="1">#REF!</definedName>
    <definedName name="BEx1HDM5ZXSJG6JQEMSFV52PZ10V" localSheetId="20" hidden="1">#REF!</definedName>
    <definedName name="BEx1HDM5ZXSJG6JQEMSFV52PZ10V" hidden="1">#REF!</definedName>
    <definedName name="BEx1HETBBZVN5F43LKOFMC4QB0CR" localSheetId="20" hidden="1">#REF!</definedName>
    <definedName name="BEx1HETBBZVN5F43LKOFMC4QB0CR" hidden="1">#REF!</definedName>
    <definedName name="BEx1HGWNWPLNXICOTP90TKQVVE4E" localSheetId="20" hidden="1">#REF!</definedName>
    <definedName name="BEx1HGWNWPLNXICOTP90TKQVVE4E" hidden="1">#REF!</definedName>
    <definedName name="BEx1HIPLJZABY0EMUOTZN0EQMDPU" localSheetId="20" hidden="1">#REF!</definedName>
    <definedName name="BEx1HIPLJZABY0EMUOTZN0EQMDPU" hidden="1">#REF!</definedName>
    <definedName name="BEx1HO94JIRX219MPWMB5E5XZ04X" localSheetId="20" hidden="1">#REF!</definedName>
    <definedName name="BEx1HO94JIRX219MPWMB5E5XZ04X" hidden="1">#REF!</definedName>
    <definedName name="BEx1HQNF6KHM21E3XLW0NMSSEI9S" localSheetId="20" hidden="1">#REF!</definedName>
    <definedName name="BEx1HQNF6KHM21E3XLW0NMSSEI9S" hidden="1">#REF!</definedName>
    <definedName name="BEx1HSLNWIW4S97ZBYY7I7M5YVH4" localSheetId="20" hidden="1">#REF!</definedName>
    <definedName name="BEx1HSLNWIW4S97ZBYY7I7M5YVH4" hidden="1">#REF!</definedName>
    <definedName name="BEx1HU8WGEGZ07PO2AYJ3Q7JV682" localSheetId="20" hidden="1">'[38]10.08.3 - 2008 Expense - TDBU'!#REF!</definedName>
    <definedName name="BEx1HU8WGEGZ07PO2AYJ3Q7JV682" hidden="1">'[38]10.08.3 - 2008 Expense - TDBU'!#REF!</definedName>
    <definedName name="BEx1I4QKTILCKZUSOJCVZN7SNHL5" localSheetId="15" hidden="1">#REF!</definedName>
    <definedName name="BEx1I4QKTILCKZUSOJCVZN7SNHL5" localSheetId="16" hidden="1">#REF!</definedName>
    <definedName name="BEx1I4QKTILCKZUSOJCVZN7SNHL5" localSheetId="20" hidden="1">#REF!</definedName>
    <definedName name="BEx1I4QKTILCKZUSOJCVZN7SNHL5" hidden="1">#REF!</definedName>
    <definedName name="BEx1IE0ZP7RIFM9FI24S9I6AAJ14" localSheetId="20" hidden="1">#REF!</definedName>
    <definedName name="BEx1IE0ZP7RIFM9FI24S9I6AAJ14" hidden="1">#REF!</definedName>
    <definedName name="BEx1IGQ5B697MNDOE06MVSR0H58E" localSheetId="20" hidden="1">#REF!</definedName>
    <definedName name="BEx1IGQ5B697MNDOE06MVSR0H58E" hidden="1">#REF!</definedName>
    <definedName name="BEx1IKRPW8MLB9Y485M1TL2IT9SH" localSheetId="20" hidden="1">#REF!</definedName>
    <definedName name="BEx1IKRPW8MLB9Y485M1TL2IT9SH" hidden="1">#REF!</definedName>
    <definedName name="BEx1J0CSSHDJGBJUHVOEMCF2P4DL" localSheetId="20" hidden="1">#REF!</definedName>
    <definedName name="BEx1J0CSSHDJGBJUHVOEMCF2P4DL" hidden="1">#REF!</definedName>
    <definedName name="BEx1J61RRF9LJ3V3R5OY3WJ6VBWR" localSheetId="20" hidden="1">#REF!</definedName>
    <definedName name="BEx1J61RRF9LJ3V3R5OY3WJ6VBWR" hidden="1">#REF!</definedName>
    <definedName name="BEx1J7E8VCGLPYU82QXVUG5N3ZAI" localSheetId="20" hidden="1">#REF!</definedName>
    <definedName name="BEx1J7E8VCGLPYU82QXVUG5N3ZAI" hidden="1">#REF!</definedName>
    <definedName name="BEx1JGE2YQWH8S25USOY08XVGO0D" localSheetId="20" hidden="1">#REF!</definedName>
    <definedName name="BEx1JGE2YQWH8S25USOY08XVGO0D" hidden="1">#REF!</definedName>
    <definedName name="BEx1JJJC9T1W7HY4V7HP1S1W4JO1" localSheetId="20" hidden="1">#REF!</definedName>
    <definedName name="BEx1JJJC9T1W7HY4V7HP1S1W4JO1" hidden="1">#REF!</definedName>
    <definedName name="BEx1JKKZSJ7DI4PTFVI9VVFMB1X2" localSheetId="20" hidden="1">#REF!</definedName>
    <definedName name="BEx1JKKZSJ7DI4PTFVI9VVFMB1X2" hidden="1">#REF!</definedName>
    <definedName name="BEx1JUBQFRVMASSFK4B3V0AD7YP9" localSheetId="20" hidden="1">#REF!</definedName>
    <definedName name="BEx1JUBQFRVMASSFK4B3V0AD7YP9" hidden="1">#REF!</definedName>
    <definedName name="BEx1JVTNDJQ0189VAB5O88Z9N2B1" localSheetId="20" hidden="1">#REF!</definedName>
    <definedName name="BEx1JVTNDJQ0189VAB5O88Z9N2B1" hidden="1">#REF!</definedName>
    <definedName name="BEx1JXBM5W4YRWNQ0P95QQS6JWD6" localSheetId="20" hidden="1">#REF!</definedName>
    <definedName name="BEx1JXBM5W4YRWNQ0P95QQS6JWD6" hidden="1">#REF!</definedName>
    <definedName name="BEx1K4D3BL8221FE5HGCB9VDX83Q" localSheetId="20" hidden="1">'[38]10.08.5 - 2008 Capital - TDBU'!#REF!</definedName>
    <definedName name="BEx1K4D3BL8221FE5HGCB9VDX83Q" hidden="1">'[38]10.08.5 - 2008 Capital - TDBU'!#REF!</definedName>
    <definedName name="BEx1K95QRKBCQOHKAK00IAOF748I" localSheetId="15" hidden="1">#REF!</definedName>
    <definedName name="BEx1K95QRKBCQOHKAK00IAOF748I" localSheetId="16" hidden="1">#REF!</definedName>
    <definedName name="BEx1K95QRKBCQOHKAK00IAOF748I" localSheetId="20" hidden="1">#REF!</definedName>
    <definedName name="BEx1K95QRKBCQOHKAK00IAOF748I" hidden="1">#REF!</definedName>
    <definedName name="BEx1KGCOC0TV99C9CNDK7IZRHVGO" localSheetId="20" hidden="1">#REF!</definedName>
    <definedName name="BEx1KGCOC0TV99C9CNDK7IZRHVGO" hidden="1">#REF!</definedName>
    <definedName name="BEx1KGY9QEHZ9QSARMQUTQKRK4UX" localSheetId="20" hidden="1">#REF!</definedName>
    <definedName name="BEx1KGY9QEHZ9QSARMQUTQKRK4UX" hidden="1">#REF!</definedName>
    <definedName name="BEx1KKP1ELIF2UII2FWVGL7M1X7J" localSheetId="20" hidden="1">#REF!</definedName>
    <definedName name="BEx1KKP1ELIF2UII2FWVGL7M1X7J" hidden="1">#REF!</definedName>
    <definedName name="BEx1KUVWMB0QCWA3RBE4CADFVRIS" localSheetId="20" hidden="1">#REF!</definedName>
    <definedName name="BEx1KUVWMB0QCWA3RBE4CADFVRIS" hidden="1">#REF!</definedName>
    <definedName name="BEx1L2OG1SDFK2TPXELJ77YP4NI2" localSheetId="20" hidden="1">#REF!</definedName>
    <definedName name="BEx1L2OG1SDFK2TPXELJ77YP4NI2" hidden="1">#REF!</definedName>
    <definedName name="BEx1L6Q60MWRDJB4L20LK0XPA0Z2" localSheetId="20" hidden="1">#REF!</definedName>
    <definedName name="BEx1L6Q60MWRDJB4L20LK0XPA0Z2" hidden="1">#REF!</definedName>
    <definedName name="BEx1LAX8UE95OMEMCKW7PJJO7FX5" localSheetId="20" hidden="1">#REF!</definedName>
    <definedName name="BEx1LAX8UE95OMEMCKW7PJJO7FX5" hidden="1">#REF!</definedName>
    <definedName name="BEx1LD63FP2Z4BR9TKSHOZW9KKZ5" localSheetId="20" hidden="1">#REF!</definedName>
    <definedName name="BEx1LD63FP2Z4BR9TKSHOZW9KKZ5" hidden="1">#REF!</definedName>
    <definedName name="BEx1LDMB9RW982DUILM2WPT5VWQ3" localSheetId="20" hidden="1">#REF!</definedName>
    <definedName name="BEx1LDMB9RW982DUILM2WPT5VWQ3" hidden="1">#REF!</definedName>
    <definedName name="BEx1LR3VGF6TOZ4ZPIXZ96JKRKKD" localSheetId="20" hidden="1">#REF!</definedName>
    <definedName name="BEx1LR3VGF6TOZ4ZPIXZ96JKRKKD" hidden="1">#REF!</definedName>
    <definedName name="BEx1LRPGDQCOEMW8YT80J1XCDCIV" localSheetId="20" hidden="1">#REF!</definedName>
    <definedName name="BEx1LRPGDQCOEMW8YT80J1XCDCIV" hidden="1">#REF!</definedName>
    <definedName name="BEx1LRUSJW4JG54X07QWD9R27WV9" localSheetId="20" hidden="1">#REF!</definedName>
    <definedName name="BEx1LRUSJW4JG54X07QWD9R27WV9" hidden="1">#REF!</definedName>
    <definedName name="BEx1LU92C01NBTGCF0WADTO32CU2" localSheetId="20" hidden="1">#REF!</definedName>
    <definedName name="BEx1LU92C01NBTGCF0WADTO32CU2" hidden="1">#REF!</definedName>
    <definedName name="BEx1M1WBK5T0LP1AK2JYV6W87ID6" localSheetId="20" hidden="1">#REF!</definedName>
    <definedName name="BEx1M1WBK5T0LP1AK2JYV6W87ID6" hidden="1">#REF!</definedName>
    <definedName name="BEx1M51HHDYGIT8PON7U8ICL2S95" localSheetId="20" hidden="1">#REF!</definedName>
    <definedName name="BEx1M51HHDYGIT8PON7U8ICL2S95" hidden="1">#REF!</definedName>
    <definedName name="BEx1M68NRL0QD9UQV1RA9L68505H" localSheetId="20" hidden="1">#REF!</definedName>
    <definedName name="BEx1M68NRL0QD9UQV1RA9L68505H" hidden="1">#REF!</definedName>
    <definedName name="BEx1MQ0S8ZPM3QRPBJFVO8KGKJO2" localSheetId="20" hidden="1">#REF!</definedName>
    <definedName name="BEx1MQ0S8ZPM3QRPBJFVO8KGKJO2" hidden="1">#REF!</definedName>
    <definedName name="BEx1MTRKKVCHOZ0YGID6HZ49LJTO" localSheetId="20" hidden="1">#REF!</definedName>
    <definedName name="BEx1MTRKKVCHOZ0YGID6HZ49LJTO" hidden="1">#REF!</definedName>
    <definedName name="BEx1N3CUJ3UX61X38ZAJVPEN4KMC" localSheetId="20" hidden="1">#REF!</definedName>
    <definedName name="BEx1N3CUJ3UX61X38ZAJVPEN4KMC" hidden="1">#REF!</definedName>
    <definedName name="BEx1NM34KQTO1LDNSAFD1L82UZFG" localSheetId="20" hidden="1">#REF!</definedName>
    <definedName name="BEx1NM34KQTO1LDNSAFD1L82UZFG" hidden="1">#REF!</definedName>
    <definedName name="BEx1NNQJ0R56EJAAW1MXNECZ55XH" localSheetId="20" hidden="1">'[38]10.08.5 - 2008 Capital - TDBU'!#REF!</definedName>
    <definedName name="BEx1NNQJ0R56EJAAW1MXNECZ55XH" hidden="1">'[38]10.08.5 - 2008 Capital - TDBU'!#REF!</definedName>
    <definedName name="BEx1NO6TXZVOGCUWCCRTXRXWW0XL" localSheetId="15" hidden="1">#REF!</definedName>
    <definedName name="BEx1NO6TXZVOGCUWCCRTXRXWW0XL" localSheetId="16" hidden="1">#REF!</definedName>
    <definedName name="BEx1NO6TXZVOGCUWCCRTXRXWW0XL" localSheetId="20" hidden="1">#REF!</definedName>
    <definedName name="BEx1NO6TXZVOGCUWCCRTXRXWW0XL" hidden="1">#REF!</definedName>
    <definedName name="BEx1NS8EU5P9FQV3S0WRTXI5L361" localSheetId="20" hidden="1">#REF!</definedName>
    <definedName name="BEx1NS8EU5P9FQV3S0WRTXI5L361" hidden="1">#REF!</definedName>
    <definedName name="BEx1NUBX5VUYZFKQH69FN6BTLWCR" localSheetId="20" hidden="1">#REF!</definedName>
    <definedName name="BEx1NUBX5VUYZFKQH69FN6BTLWCR" hidden="1">#REF!</definedName>
    <definedName name="BEx1NZ4K1L8UON80Y2A4RASKWGNP" localSheetId="20" hidden="1">#REF!</definedName>
    <definedName name="BEx1NZ4K1L8UON80Y2A4RASKWGNP" hidden="1">#REF!</definedName>
    <definedName name="BEx1O24FHGT1KV1PHK1VQ1OUH4VP" localSheetId="20" hidden="1">#REF!</definedName>
    <definedName name="BEx1O24FHGT1KV1PHK1VQ1OUH4VP" hidden="1">#REF!</definedName>
    <definedName name="BEx1OFB62PDZZNV8TCVH2GJNNOSC" localSheetId="20" hidden="1">#REF!</definedName>
    <definedName name="BEx1OFB62PDZZNV8TCVH2GJNNOSC" hidden="1">#REF!</definedName>
    <definedName name="BEx1OLAZ915OGYWP0QP1QQWDLCRX" localSheetId="20" hidden="1">#REF!</definedName>
    <definedName name="BEx1OLAZ915OGYWP0QP1QQWDLCRX" hidden="1">#REF!</definedName>
    <definedName name="BEx1OO5ER042IS6IC4TLDI75JNVH" localSheetId="20" hidden="1">#REF!</definedName>
    <definedName name="BEx1OO5ER042IS6IC4TLDI75JNVH" hidden="1">#REF!</definedName>
    <definedName name="BEx1OTE544O0H6QOAIX6QZKHCDFW" localSheetId="20" hidden="1">#REF!</definedName>
    <definedName name="BEx1OTE544O0H6QOAIX6QZKHCDFW" hidden="1">#REF!</definedName>
    <definedName name="BEx1OTE54CBSUT8FWKRALEDCUWN4" localSheetId="20" hidden="1">#REF!</definedName>
    <definedName name="BEx1OTE54CBSUT8FWKRALEDCUWN4" hidden="1">#REF!</definedName>
    <definedName name="BEx1OVSMPADTX95QUOX34KZQ8EDY" localSheetId="20" hidden="1">#REF!</definedName>
    <definedName name="BEx1OVSMPADTX95QUOX34KZQ8EDY" hidden="1">#REF!</definedName>
    <definedName name="BEx1OX544IO9FQJI7YYQGZCEHB3O" localSheetId="20" hidden="1">#REF!</definedName>
    <definedName name="BEx1OX544IO9FQJI7YYQGZCEHB3O" hidden="1">#REF!</definedName>
    <definedName name="BEx1OY6SVEUT2EQ26P7EKEND342G" localSheetId="20" hidden="1">#REF!</definedName>
    <definedName name="BEx1OY6SVEUT2EQ26P7EKEND342G" hidden="1">#REF!</definedName>
    <definedName name="BEx1OYN1LPIPI12O9G6F7QAOS9T4" localSheetId="20" hidden="1">#REF!</definedName>
    <definedName name="BEx1OYN1LPIPI12O9G6F7QAOS9T4" hidden="1">#REF!</definedName>
    <definedName name="BEx1P1HHKJA799O3YZXQAX6KFH58" localSheetId="20" hidden="1">#REF!</definedName>
    <definedName name="BEx1P1HHKJA799O3YZXQAX6KFH58" hidden="1">#REF!</definedName>
    <definedName name="BEx1P34W467WGPOXPK292QFJIPHJ" localSheetId="20" hidden="1">#REF!</definedName>
    <definedName name="BEx1P34W467WGPOXPK292QFJIPHJ" hidden="1">#REF!</definedName>
    <definedName name="BEx1P58EB7DAA5Y346WUQVQR9QEO" localSheetId="20" hidden="1">#REF!</definedName>
    <definedName name="BEx1P58EB7DAA5Y346WUQVQR9QEO" hidden="1">#REF!</definedName>
    <definedName name="BEx1P7S1J4TKGVJ43C2Q2R3M9WRB" localSheetId="20" hidden="1">#REF!</definedName>
    <definedName name="BEx1P7S1J4TKGVJ43C2Q2R3M9WRB" hidden="1">#REF!</definedName>
    <definedName name="BEx1PA11BLPVZM8RC5BL46WX8YB5" localSheetId="20" hidden="1">#REF!</definedName>
    <definedName name="BEx1PA11BLPVZM8RC5BL46WX8YB5" hidden="1">#REF!</definedName>
    <definedName name="BEx1PBZ4BEFIPGMQXT9T8S4PZ2IM" localSheetId="20" hidden="1">#REF!</definedName>
    <definedName name="BEx1PBZ4BEFIPGMQXT9T8S4PZ2IM" hidden="1">#REF!</definedName>
    <definedName name="BEx1PKINWPH6BLUM5BTUM1OMO78L" localSheetId="20" hidden="1">#REF!</definedName>
    <definedName name="BEx1PKINWPH6BLUM5BTUM1OMO78L" hidden="1">#REF!</definedName>
    <definedName name="BEx1PLF2CFSXBZPVI6CJ534EIJDN" localSheetId="20" hidden="1">#REF!</definedName>
    <definedName name="BEx1PLF2CFSXBZPVI6CJ534EIJDN" hidden="1">#REF!</definedName>
    <definedName name="BEx1PMWZB2DO6EM9BKLUICZJ65HD" localSheetId="20" hidden="1">#REF!</definedName>
    <definedName name="BEx1PMWZB2DO6EM9BKLUICZJ65HD" hidden="1">#REF!</definedName>
    <definedName name="BEx1PUK290DX9LHEN2RS5E5L92YR" localSheetId="20" hidden="1">#REF!</definedName>
    <definedName name="BEx1PUK290DX9LHEN2RS5E5L92YR" hidden="1">#REF!</definedName>
    <definedName name="BEx1PWNKPN825TMXC0L3V3FWMXS4" localSheetId="20" hidden="1">'[38]10.08.2 - 2008 Expense'!#REF!</definedName>
    <definedName name="BEx1PWNKPN825TMXC0L3V3FWMXS4" hidden="1">'[38]10.08.2 - 2008 Expense'!#REF!</definedName>
    <definedName name="BEx1Q21TG5PWZ4V504UC7VGQ9FEI" localSheetId="15" hidden="1">#REF!</definedName>
    <definedName name="BEx1Q21TG5PWZ4V504UC7VGQ9FEI" localSheetId="16" hidden="1">#REF!</definedName>
    <definedName name="BEx1Q21TG5PWZ4V504UC7VGQ9FEI" localSheetId="20" hidden="1">#REF!</definedName>
    <definedName name="BEx1Q21TG5PWZ4V504UC7VGQ9FEI" hidden="1">#REF!</definedName>
    <definedName name="BEx1QA54J2A4I7IBQR19BTY28ZMR" localSheetId="20" hidden="1">#REF!</definedName>
    <definedName name="BEx1QA54J2A4I7IBQR19BTY28ZMR" hidden="1">#REF!</definedName>
    <definedName name="BEx1QMKTAIQ9VGEWQ95YM98EUX0H" localSheetId="20" hidden="1">#REF!</definedName>
    <definedName name="BEx1QMKTAIQ9VGEWQ95YM98EUX0H" hidden="1">#REF!</definedName>
    <definedName name="BEx1QMQAHG3KQUK59DVM68SWKZIZ" localSheetId="20" hidden="1">#REF!</definedName>
    <definedName name="BEx1QMQAHG3KQUK59DVM68SWKZIZ" hidden="1">#REF!</definedName>
    <definedName name="BEx1R9YFKJCMSEST8OVCAO5E47FO" localSheetId="20" hidden="1">#REF!</definedName>
    <definedName name="BEx1R9YFKJCMSEST8OVCAO5E47FO" hidden="1">#REF!</definedName>
    <definedName name="BEx1RBGC06B3T52OIC0EQ1KGVP1I" localSheetId="20" hidden="1">#REF!</definedName>
    <definedName name="BEx1RBGC06B3T52OIC0EQ1KGVP1I" hidden="1">#REF!</definedName>
    <definedName name="BEx1RG3NJLA83JCT26IM1NH7FHA3" localSheetId="20" hidden="1">#REF!</definedName>
    <definedName name="BEx1RG3NJLA83JCT26IM1NH7FHA3" hidden="1">#REF!</definedName>
    <definedName name="BEx1RPJGA9DKDGRAYU2BHE6FRJ0N" localSheetId="20" hidden="1">#REF!</definedName>
    <definedName name="BEx1RPJGA9DKDGRAYU2BHE6FRJ0N" hidden="1">#REF!</definedName>
    <definedName name="BEx1RRC7X4NI1CU4EO5XYE2GVARJ" localSheetId="20" hidden="1">#REF!</definedName>
    <definedName name="BEx1RRC7X4NI1CU4EO5XYE2GVARJ" hidden="1">#REF!</definedName>
    <definedName name="BEx1RZA1NCGT832L7EMR7GMF588W" localSheetId="20" hidden="1">#REF!</definedName>
    <definedName name="BEx1RZA1NCGT832L7EMR7GMF588W" hidden="1">#REF!</definedName>
    <definedName name="BEx1S0XGIPUSZQUCSGWSK10GKW7Y" localSheetId="20" hidden="1">#REF!</definedName>
    <definedName name="BEx1S0XGIPUSZQUCSGWSK10GKW7Y" hidden="1">#REF!</definedName>
    <definedName name="BEx1S5VFNKIXHTTCWSV60UC50EZ8" localSheetId="20" hidden="1">#REF!</definedName>
    <definedName name="BEx1S5VFNKIXHTTCWSV60UC50EZ8" hidden="1">#REF!</definedName>
    <definedName name="BEx1SFGNVAFMGBWWJ1P5SP00N381" localSheetId="20" hidden="1">#REF!</definedName>
    <definedName name="BEx1SFGNVAFMGBWWJ1P5SP00N381" hidden="1">#REF!</definedName>
    <definedName name="BEx1SFGP1BMG8LP140SHD1AEEPXP" localSheetId="20" hidden="1">'[38]10.08.3 - 2008 Expense - TDBU'!#REF!</definedName>
    <definedName name="BEx1SFGP1BMG8LP140SHD1AEEPXP" hidden="1">'[38]10.08.3 - 2008 Expense - TDBU'!#REF!</definedName>
    <definedName name="BEx1SK3U02H0RGKEYXW7ZMCEOF3V" localSheetId="15" hidden="1">#REF!</definedName>
    <definedName name="BEx1SK3U02H0RGKEYXW7ZMCEOF3V" localSheetId="16" hidden="1">#REF!</definedName>
    <definedName name="BEx1SK3U02H0RGKEYXW7ZMCEOF3V" localSheetId="20" hidden="1">#REF!</definedName>
    <definedName name="BEx1SK3U02H0RGKEYXW7ZMCEOF3V" hidden="1">#REF!</definedName>
    <definedName name="BEx1SO5L68CL3H1IC2HQ6TPY8U6F" localSheetId="20" hidden="1">#REF!</definedName>
    <definedName name="BEx1SO5L68CL3H1IC2HQ6TPY8U6F" hidden="1">#REF!</definedName>
    <definedName name="BEx1SSNEZINBJT29QVS62VS1THT4" localSheetId="20" hidden="1">#REF!</definedName>
    <definedName name="BEx1SSNEZINBJT29QVS62VS1THT4" hidden="1">#REF!</definedName>
    <definedName name="BEx1SVNCHNANBJIDIQVB8AFK4HAN" localSheetId="20" hidden="1">#REF!</definedName>
    <definedName name="BEx1SVNCHNANBJIDIQVB8AFK4HAN" hidden="1">#REF!</definedName>
    <definedName name="BEx1TE2YGKCOGDSQUWA9TLZW5GV4" localSheetId="20" hidden="1">#REF!</definedName>
    <definedName name="BEx1TE2YGKCOGDSQUWA9TLZW5GV4" hidden="1">#REF!</definedName>
    <definedName name="BEx1TJ0WLS9O7KNSGIPWTYHDYI1D" localSheetId="20" hidden="1">#REF!</definedName>
    <definedName name="BEx1TJ0WLS9O7KNSGIPWTYHDYI1D" hidden="1">#REF!</definedName>
    <definedName name="BEx1TLF98B75D1P3EJQ1GRYKUU6P" localSheetId="20" hidden="1">#REF!</definedName>
    <definedName name="BEx1TLF98B75D1P3EJQ1GRYKUU6P" hidden="1">#REF!</definedName>
    <definedName name="BEx1TYRAHXVPGDVF5KTTB3900F58" localSheetId="20" hidden="1">'[38]10.08.4 -2008 Capital'!#REF!</definedName>
    <definedName name="BEx1TYRAHXVPGDVF5KTTB3900F58" hidden="1">'[38]10.08.4 -2008 Capital'!#REF!</definedName>
    <definedName name="BEx1U15M7LVVFZENH830B2BGWC04" localSheetId="15" hidden="1">#REF!</definedName>
    <definedName name="BEx1U15M7LVVFZENH830B2BGWC04" localSheetId="16" hidden="1">#REF!</definedName>
    <definedName name="BEx1U15M7LVVFZENH830B2BGWC04" localSheetId="20" hidden="1">#REF!</definedName>
    <definedName name="BEx1U15M7LVVFZENH830B2BGWC04" hidden="1">#REF!</definedName>
    <definedName name="BEx1U5NGVTXGL4CIPVT5O034KGGR" localSheetId="15" hidden="1">'[38]10.08.3 - 2008 Expense - TDBU'!#REF!</definedName>
    <definedName name="BEx1U5NGVTXGL4CIPVT5O034KGGR" localSheetId="16" hidden="1">'[38]10.08.3 - 2008 Expense - TDBU'!#REF!</definedName>
    <definedName name="BEx1U5NGVTXGL4CIPVT5O034KGGR" localSheetId="20" hidden="1">'[38]10.08.3 - 2008 Expense - TDBU'!#REF!</definedName>
    <definedName name="BEx1U5NGVTXGL4CIPVT5O034KGGR" hidden="1">'[38]10.08.3 - 2008 Expense - TDBU'!#REF!</definedName>
    <definedName name="BEx1U7WFO8OZKB1EBF4H386JW91L" localSheetId="15" hidden="1">#REF!</definedName>
    <definedName name="BEx1U7WFO8OZKB1EBF4H386JW91L" localSheetId="16" hidden="1">#REF!</definedName>
    <definedName name="BEx1U7WFO8OZKB1EBF4H386JW91L" localSheetId="20" hidden="1">#REF!</definedName>
    <definedName name="BEx1U7WFO8OZKB1EBF4H386JW91L" hidden="1">#REF!</definedName>
    <definedName name="BEx1U87938YR9N6HYI24KVBKLOS3" localSheetId="20" hidden="1">#REF!</definedName>
    <definedName name="BEx1U87938YR9N6HYI24KVBKLOS3" hidden="1">#REF!</definedName>
    <definedName name="BEx1UESH4KDWHYESQU2IE55RS3LI" localSheetId="20" hidden="1">#REF!</definedName>
    <definedName name="BEx1UESH4KDWHYESQU2IE55RS3LI" hidden="1">#REF!</definedName>
    <definedName name="BEx1UFZM4VZBYSPNK43H7Y6HNB2B" localSheetId="20" hidden="1">#REF!</definedName>
    <definedName name="BEx1UFZM4VZBYSPNK43H7Y6HNB2B" hidden="1">#REF!</definedName>
    <definedName name="BEx1UI8N9KTCPSOJ7RDW0T8UEBNP" localSheetId="20" hidden="1">#REF!</definedName>
    <definedName name="BEx1UI8N9KTCPSOJ7RDW0T8UEBNP" hidden="1">#REF!</definedName>
    <definedName name="BEx1UML0HHJFHA5TBOYQ24I3RV1W" localSheetId="20" hidden="1">#REF!</definedName>
    <definedName name="BEx1UML0HHJFHA5TBOYQ24I3RV1W" hidden="1">#REF!</definedName>
    <definedName name="BEx1UUDIQPZ23XQ79GUL0RAWRSCK" localSheetId="20" hidden="1">#REF!</definedName>
    <definedName name="BEx1UUDIQPZ23XQ79GUL0RAWRSCK" hidden="1">#REF!</definedName>
    <definedName name="BEx1UUTSK2C11SHV8AJXLYCJP9N4" localSheetId="20" hidden="1">#REF!</definedName>
    <definedName name="BEx1UUTSK2C11SHV8AJXLYCJP9N4" hidden="1">#REF!</definedName>
    <definedName name="BEx1V67SEV778NVW68J8W5SND1J7" localSheetId="20" hidden="1">#REF!</definedName>
    <definedName name="BEx1V67SEV778NVW68J8W5SND1J7" hidden="1">#REF!</definedName>
    <definedName name="BEx1VAK6RBDZVE57N471WHPORUOE" localSheetId="20" hidden="1">#REF!</definedName>
    <definedName name="BEx1VAK6RBDZVE57N471WHPORUOE" hidden="1">#REF!</definedName>
    <definedName name="BEx1VIY9SQLRESD11CC4PHYT0XSG" localSheetId="20" hidden="1">#REF!</definedName>
    <definedName name="BEx1VIY9SQLRESD11CC4PHYT0XSG" hidden="1">#REF!</definedName>
    <definedName name="BEx1WC67EH10SC38QWX3WEA5KH3A" localSheetId="20" hidden="1">#REF!</definedName>
    <definedName name="BEx1WC67EH10SC38QWX3WEA5KH3A" hidden="1">#REF!</definedName>
    <definedName name="BEx1WGYTKZZIPM1577W5FEYKFH3V" localSheetId="20" hidden="1">#REF!</definedName>
    <definedName name="BEx1WGYTKZZIPM1577W5FEYKFH3V" hidden="1">#REF!</definedName>
    <definedName name="BEx1WHPURIV3D3PTJJ359H1OP7ZV" localSheetId="20" hidden="1">#REF!</definedName>
    <definedName name="BEx1WHPURIV3D3PTJJ359H1OP7ZV" hidden="1">#REF!</definedName>
    <definedName name="BEx1WLWY2CR1WRD694JJSWSDFAIR" localSheetId="20" hidden="1">#REF!</definedName>
    <definedName name="BEx1WLWY2CR1WRD694JJSWSDFAIR" hidden="1">#REF!</definedName>
    <definedName name="BEx1WMD1LWPWRIK6GGAJRJAHJM8I" localSheetId="20" hidden="1">#REF!</definedName>
    <definedName name="BEx1WMD1LWPWRIK6GGAJRJAHJM8I" hidden="1">#REF!</definedName>
    <definedName name="BEx1WR0D41MR174LBF3P9E3K0J51" localSheetId="20" hidden="1">#REF!</definedName>
    <definedName name="BEx1WR0D41MR174LBF3P9E3K0J51" hidden="1">#REF!</definedName>
    <definedName name="BEx1WUB1FAS5PHU33TJ60SUHR618" localSheetId="20" hidden="1">#REF!</definedName>
    <definedName name="BEx1WUB1FAS5PHU33TJ60SUHR618" hidden="1">#REF!</definedName>
    <definedName name="BEx1WX04G0INSPPG9NTNR3DYR6PZ" localSheetId="20" hidden="1">#REF!</definedName>
    <definedName name="BEx1WX04G0INSPPG9NTNR3DYR6PZ" hidden="1">#REF!</definedName>
    <definedName name="BEx1X1SS6VBZVRNQ2BCV14SDSN2T" localSheetId="20" hidden="1">#REF!</definedName>
    <definedName name="BEx1X1SS6VBZVRNQ2BCV14SDSN2T" hidden="1">#REF!</definedName>
    <definedName name="BEx1X3LHU9DPG01VWX2IF65TRATF" localSheetId="20" hidden="1">#REF!</definedName>
    <definedName name="BEx1X3LHU9DPG01VWX2IF65TRATF" hidden="1">#REF!</definedName>
    <definedName name="BEx1XK8AAMO0AH0Z1OUKW30CA7EQ" localSheetId="20" hidden="1">#REF!</definedName>
    <definedName name="BEx1XK8AAMO0AH0Z1OUKW30CA7EQ" hidden="1">#REF!</definedName>
    <definedName name="BEx1XL4MZ7C80495GHQRWOBS16PQ" localSheetId="20" hidden="1">#REF!</definedName>
    <definedName name="BEx1XL4MZ7C80495GHQRWOBS16PQ" hidden="1">#REF!</definedName>
    <definedName name="BEx1Y2IGS2K95E1M51PEF9KJZ0KB" localSheetId="20" hidden="1">#REF!</definedName>
    <definedName name="BEx1Y2IGS2K95E1M51PEF9KJZ0KB" hidden="1">#REF!</definedName>
    <definedName name="BEx1Y3PKK83X2FN9SAALFHOWKMRQ" localSheetId="20" hidden="1">#REF!</definedName>
    <definedName name="BEx1Y3PKK83X2FN9SAALFHOWKMRQ" hidden="1">#REF!</definedName>
    <definedName name="BEx1Y40E3PP1FR4Z1T8TYMERO4NV" localSheetId="20" hidden="1">#REF!</definedName>
    <definedName name="BEx1Y40E3PP1FR4Z1T8TYMERO4NV" hidden="1">#REF!</definedName>
    <definedName name="BEx1YESSUDLAERX6LBB8V56M8SLC" localSheetId="20" hidden="1">#REF!</definedName>
    <definedName name="BEx1YESSUDLAERX6LBB8V56M8SLC" hidden="1">#REF!</definedName>
    <definedName name="BEx1YL3DJ7Y4AZ01ERCOGW0FJ26T" localSheetId="20" hidden="1">#REF!</definedName>
    <definedName name="BEx1YL3DJ7Y4AZ01ERCOGW0FJ26T" hidden="1">#REF!</definedName>
    <definedName name="BEx1Z2RYHSVD1H37817SN93VMURZ" localSheetId="20" hidden="1">#REF!</definedName>
    <definedName name="BEx1Z2RYHSVD1H37817SN93VMURZ" hidden="1">#REF!</definedName>
    <definedName name="BEx3AMAKWI6458B67VKZO56MCNJW" localSheetId="20" hidden="1">#REF!</definedName>
    <definedName name="BEx3AMAKWI6458B67VKZO56MCNJW" hidden="1">#REF!</definedName>
    <definedName name="BEx3AOOVM42G82TNF53W0EKXLUSI" localSheetId="20" hidden="1">#REF!</definedName>
    <definedName name="BEx3AOOVM42G82TNF53W0EKXLUSI" hidden="1">#REF!</definedName>
    <definedName name="BEx3AZH9W4SUFCAHNDOQ728R9V4L" localSheetId="20" hidden="1">#REF!</definedName>
    <definedName name="BEx3AZH9W4SUFCAHNDOQ728R9V4L" hidden="1">#REF!</definedName>
    <definedName name="BEx3B3OD51ISAN2LLIBMULN0U4ZC" localSheetId="20" hidden="1">#REF!</definedName>
    <definedName name="BEx3B3OD51ISAN2LLIBMULN0U4ZC" hidden="1">#REF!</definedName>
    <definedName name="BEx3BAKI5N8MFGVWZWCRJQZ879OO" localSheetId="20" hidden="1">#REF!</definedName>
    <definedName name="BEx3BAKI5N8MFGVWZWCRJQZ879OO" hidden="1">#REF!</definedName>
    <definedName name="BEx3BG9I89VA2OLYT4PV61JDXU69" localSheetId="20" hidden="1">#REF!</definedName>
    <definedName name="BEx3BG9I89VA2OLYT4PV61JDXU69" hidden="1">#REF!</definedName>
    <definedName name="BEx3BG9J3N0QW0HQLPDKHG4LNUP8" localSheetId="20" hidden="1">#REF!</definedName>
    <definedName name="BEx3BG9J3N0QW0HQLPDKHG4LNUP8" hidden="1">#REF!</definedName>
    <definedName name="BEx3BNR9ES4KY7Q1DK83KC5NDGL8" localSheetId="20" hidden="1">#REF!</definedName>
    <definedName name="BEx3BNR9ES4KY7Q1DK83KC5NDGL8" hidden="1">#REF!</definedName>
    <definedName name="BEx3BQR5VZXNQ4H949ORM8ESU3B3" localSheetId="20" hidden="1">#REF!</definedName>
    <definedName name="BEx3BQR5VZXNQ4H949ORM8ESU3B3" hidden="1">#REF!</definedName>
    <definedName name="BEx3BTLL3ASJN134DLEQTQM70VZM" localSheetId="20" hidden="1">#REF!</definedName>
    <definedName name="BEx3BTLL3ASJN134DLEQTQM70VZM" hidden="1">#REF!</definedName>
    <definedName name="BEx3BW5CTV0DJU5AQS3ZQFK2VLF3" localSheetId="20" hidden="1">#REF!</definedName>
    <definedName name="BEx3BW5CTV0DJU5AQS3ZQFK2VLF3" hidden="1">#REF!</definedName>
    <definedName name="BEx3BWAOSJWUXB8I63LLLOB0IJP1" localSheetId="20" hidden="1">#REF!</definedName>
    <definedName name="BEx3BWAOSJWUXB8I63LLLOB0IJP1" hidden="1">#REF!</definedName>
    <definedName name="BEx3BYP0FG369M7G3JEFLMMXAKTS" localSheetId="20" hidden="1">#REF!</definedName>
    <definedName name="BEx3BYP0FG369M7G3JEFLMMXAKTS" hidden="1">#REF!</definedName>
    <definedName name="BEx3C2QR0WUD19QSVO8EMIPNQJKH" localSheetId="20" hidden="1">#REF!</definedName>
    <definedName name="BEx3C2QR0WUD19QSVO8EMIPNQJKH" hidden="1">#REF!</definedName>
    <definedName name="BEx3C8AAGO4EJFEL0JJN2VY0HYIB" localSheetId="20" hidden="1">#REF!</definedName>
    <definedName name="BEx3C8AAGO4EJFEL0JJN2VY0HYIB" hidden="1">#REF!</definedName>
    <definedName name="BEx3CCS3VNR1KW2R7DKSQFZ17QW0" localSheetId="20" hidden="1">#REF!</definedName>
    <definedName name="BEx3CCS3VNR1KW2R7DKSQFZ17QW0" hidden="1">#REF!</definedName>
    <definedName name="BEx3CJTRYTU2EE1EL7M6DVFD01KO" localSheetId="20" hidden="1">#REF!</definedName>
    <definedName name="BEx3CJTRYTU2EE1EL7M6DVFD01KO" hidden="1">#REF!</definedName>
    <definedName name="BEx3CKFCCPZZ6ROLAT5C1DZNIC1U" localSheetId="20" hidden="1">#REF!</definedName>
    <definedName name="BEx3CKFCCPZZ6ROLAT5C1DZNIC1U" hidden="1">#REF!</definedName>
    <definedName name="BEx3CN4AESXZTH159TR8B9DJG12Z" localSheetId="20" hidden="1">#REF!</definedName>
    <definedName name="BEx3CN4AESXZTH159TR8B9DJG12Z" hidden="1">#REF!</definedName>
    <definedName name="BEx3CO0SVO4WLH0DO43DCHYDTH1P" localSheetId="20" hidden="1">#REF!</definedName>
    <definedName name="BEx3CO0SVO4WLH0DO43DCHYDTH1P" hidden="1">#REF!</definedName>
    <definedName name="BEx3D9G6QTSPF9UYI4X0XY0VE896" localSheetId="20" hidden="1">#REF!</definedName>
    <definedName name="BEx3D9G6QTSPF9UYI4X0XY0VE896" hidden="1">#REF!</definedName>
    <definedName name="BEx3DCQU9PBRXIMLO62KS5RLH447" localSheetId="20" hidden="1">#REF!</definedName>
    <definedName name="BEx3DCQU9PBRXIMLO62KS5RLH447" hidden="1">#REF!</definedName>
    <definedName name="BEx3E9K8R6R3TVXS3UM0127D8DNP" localSheetId="20" hidden="1">#REF!</definedName>
    <definedName name="BEx3E9K8R6R3TVXS3UM0127D8DNP" hidden="1">#REF!</definedName>
    <definedName name="BEx3EE23XC21IEMZ81C84ZBTBZA8" localSheetId="20" hidden="1">#REF!</definedName>
    <definedName name="BEx3EE23XC21IEMZ81C84ZBTBZA8" hidden="1">#REF!</definedName>
    <definedName name="BEx3EF99FD6QNNCNOKDEE67JHTUJ" localSheetId="20" hidden="1">#REF!</definedName>
    <definedName name="BEx3EF99FD6QNNCNOKDEE67JHTUJ" hidden="1">#REF!</definedName>
    <definedName name="BEx3EHCSERZ2O2OAG8Y95UPG2IY9" localSheetId="20" hidden="1">#REF!</definedName>
    <definedName name="BEx3EHCSERZ2O2OAG8Y95UPG2IY9" hidden="1">#REF!</definedName>
    <definedName name="BEx3EJR3TCJDYS7ZXNDS5N9KTGIK" localSheetId="20" hidden="1">#REF!</definedName>
    <definedName name="BEx3EJR3TCJDYS7ZXNDS5N9KTGIK" hidden="1">#REF!</definedName>
    <definedName name="BEx3ELJTTBS6P05CNISMGOJOA60V" localSheetId="20" hidden="1">#REF!</definedName>
    <definedName name="BEx3ELJTTBS6P05CNISMGOJOA60V" hidden="1">#REF!</definedName>
    <definedName name="BEx3EQSLJBDDJRHNX19PBFCKNY2I" localSheetId="20" hidden="1">#REF!</definedName>
    <definedName name="BEx3EQSLJBDDJRHNX19PBFCKNY2I" hidden="1">#REF!</definedName>
    <definedName name="BEx3EUUAX947Q5N6MY6W0KSNY78Y" localSheetId="20" hidden="1">#REF!</definedName>
    <definedName name="BEx3EUUAX947Q5N6MY6W0KSNY78Y" hidden="1">#REF!</definedName>
    <definedName name="BEx3EYVWCTX3E5LGECYH82ENAGBU" localSheetId="20" hidden="1">#REF!</definedName>
    <definedName name="BEx3EYVWCTX3E5LGECYH82ENAGBU" hidden="1">#REF!</definedName>
    <definedName name="BEx3F0JC8H5K4UPZ6HTO1OZ2OOOA" localSheetId="20" hidden="1">#REF!</definedName>
    <definedName name="BEx3F0JC8H5K4UPZ6HTO1OZ2OOOA" hidden="1">#REF!</definedName>
    <definedName name="BEx3F86EA79UA9R15EEYT5ZAYQGI" localSheetId="20" hidden="1">#REF!</definedName>
    <definedName name="BEx3F86EA79UA9R15EEYT5ZAYQGI" hidden="1">#REF!</definedName>
    <definedName name="BEx3FF2JGKF9FOM69W2I5I0JVUSZ" localSheetId="20" hidden="1">#REF!</definedName>
    <definedName name="BEx3FF2JGKF9FOM69W2I5I0JVUSZ" hidden="1">#REF!</definedName>
    <definedName name="BEx3FHMD1P5XBCH23ZKIFO6ZTCNB" localSheetId="20" hidden="1">#REF!</definedName>
    <definedName name="BEx3FHMD1P5XBCH23ZKIFO6ZTCNB" hidden="1">#REF!</definedName>
    <definedName name="BEx3FI2G3YYIACQHXNXEA15M8ZK5" localSheetId="20" hidden="1">#REF!</definedName>
    <definedName name="BEx3FI2G3YYIACQHXNXEA15M8ZK5" hidden="1">#REF!</definedName>
    <definedName name="BEx3FJ9MHSLDK8W91GO85FX1GX57" localSheetId="20" hidden="1">#REF!</definedName>
    <definedName name="BEx3FJ9MHSLDK8W91GO85FX1GX57" hidden="1">#REF!</definedName>
    <definedName name="BEx3FNM4HIBMXBBXPV7LKCWA3GHW" localSheetId="20" hidden="1">#REF!</definedName>
    <definedName name="BEx3FNM4HIBMXBBXPV7LKCWA3GHW" hidden="1">#REF!</definedName>
    <definedName name="BEx3FR251HFU7A33PU01SJUENL2B" localSheetId="20" hidden="1">#REF!</definedName>
    <definedName name="BEx3FR251HFU7A33PU01SJUENL2B" hidden="1">#REF!</definedName>
    <definedName name="BEx3FRIE1T53ZMO1E61ZGQ9THDOQ" localSheetId="20" hidden="1">'[38]10.08.5 - 2008 Capital - TDBU'!#REF!</definedName>
    <definedName name="BEx3FRIE1T53ZMO1E61ZGQ9THDOQ" hidden="1">'[38]10.08.5 - 2008 Capital - TDBU'!#REF!</definedName>
    <definedName name="BEx3FX7EJL47JSLSWP3EOC265WAE" localSheetId="15" hidden="1">#REF!</definedName>
    <definedName name="BEx3FX7EJL47JSLSWP3EOC265WAE" localSheetId="16" hidden="1">#REF!</definedName>
    <definedName name="BEx3FX7EJL47JSLSWP3EOC265WAE" localSheetId="20" hidden="1">#REF!</definedName>
    <definedName name="BEx3FX7EJL47JSLSWP3EOC265WAE" hidden="1">#REF!</definedName>
    <definedName name="BEx3G201R8NLJ6FIHO2QS0SW9QVV" localSheetId="20" hidden="1">#REF!</definedName>
    <definedName name="BEx3G201R8NLJ6FIHO2QS0SW9QVV" hidden="1">#REF!</definedName>
    <definedName name="BEx3G2LL2II66XY5YCDPG4JE13A3" localSheetId="20" hidden="1">#REF!</definedName>
    <definedName name="BEx3G2LL2II66XY5YCDPG4JE13A3" hidden="1">#REF!</definedName>
    <definedName name="BEx3G2WA0DTYY9D8AGHHOBTPE2B2" localSheetId="20" hidden="1">#REF!</definedName>
    <definedName name="BEx3G2WA0DTYY9D8AGHHOBTPE2B2" hidden="1">#REF!</definedName>
    <definedName name="BEx3G3HT0ZM1BO84RTJMXZ1842C6" localSheetId="20" hidden="1">'[38]10.08.5 - 2008 Capital - TDBU'!#REF!</definedName>
    <definedName name="BEx3G3HT0ZM1BO84RTJMXZ1842C6" hidden="1">'[38]10.08.5 - 2008 Capital - TDBU'!#REF!</definedName>
    <definedName name="BEx3GCXR6IAS0B6WJ03GJVH7CO52" localSheetId="15" hidden="1">#REF!</definedName>
    <definedName name="BEx3GCXR6IAS0B6WJ03GJVH7CO52" localSheetId="16" hidden="1">#REF!</definedName>
    <definedName name="BEx3GCXR6IAS0B6WJ03GJVH7CO52" localSheetId="20" hidden="1">#REF!</definedName>
    <definedName name="BEx3GCXR6IAS0B6WJ03GJVH7CO52" hidden="1">#REF!</definedName>
    <definedName name="BEx3GEVV18SEQDI1JGY7EN6D1GT1" localSheetId="20" hidden="1">#REF!</definedName>
    <definedName name="BEx3GEVV18SEQDI1JGY7EN6D1GT1" hidden="1">#REF!</definedName>
    <definedName name="BEx3GKFH64MKQX61S7DYTZ15JCPY" localSheetId="20" hidden="1">#REF!</definedName>
    <definedName name="BEx3GKFH64MKQX61S7DYTZ15JCPY" hidden="1">#REF!</definedName>
    <definedName name="BEx3GMJ1Y6UU02DLRL0QXCEKDA6C" localSheetId="20" hidden="1">#REF!</definedName>
    <definedName name="BEx3GMJ1Y6UU02DLRL0QXCEKDA6C" hidden="1">#REF!</definedName>
    <definedName name="BEx3GN4LY0135CBDIN1TU2UEODGF" localSheetId="20" hidden="1">#REF!</definedName>
    <definedName name="BEx3GN4LY0135CBDIN1TU2UEODGF" hidden="1">#REF!</definedName>
    <definedName name="BEx3GPDH2AH4QKT4OOSN563XUHBD" localSheetId="20" hidden="1">#REF!</definedName>
    <definedName name="BEx3GPDH2AH4QKT4OOSN563XUHBD" hidden="1">#REF!</definedName>
    <definedName name="BEx3GVD97A24S6H24BSXJFP4JCW6" localSheetId="20" hidden="1">#REF!</definedName>
    <definedName name="BEx3GVD97A24S6H24BSXJFP4JCW6" hidden="1">#REF!</definedName>
    <definedName name="BEx3H5UX2GZFZZT657YR76RHW5I6" localSheetId="20" hidden="1">#REF!</definedName>
    <definedName name="BEx3H5UX2GZFZZT657YR76RHW5I6" hidden="1">#REF!</definedName>
    <definedName name="BEx3HMSEFOP6DBM4R97XA6B7NFG6" localSheetId="20" hidden="1">#REF!</definedName>
    <definedName name="BEx3HMSEFOP6DBM4R97XA6B7NFG6" hidden="1">#REF!</definedName>
    <definedName name="BEx3HNZM1GOP9RT8C2AXOMFXIMQ8" localSheetId="20" hidden="1">#REF!</definedName>
    <definedName name="BEx3HNZM1GOP9RT8C2AXOMFXIMQ8" hidden="1">#REF!</definedName>
    <definedName name="BEx3HWJ5SQSD2CVCQNR183X44FR8" localSheetId="20" hidden="1">#REF!</definedName>
    <definedName name="BEx3HWJ5SQSD2CVCQNR183X44FR8" hidden="1">#REF!</definedName>
    <definedName name="BEx3I09YVXO0G4X7KGSA4WGORM35" localSheetId="20" hidden="1">#REF!</definedName>
    <definedName name="BEx3I09YVXO0G4X7KGSA4WGORM35" hidden="1">#REF!</definedName>
    <definedName name="BEx3I7BLM11AXCZ8E4JU8ZIAXPAS" localSheetId="20" hidden="1">#REF!</definedName>
    <definedName name="BEx3I7BLM11AXCZ8E4JU8ZIAXPAS" hidden="1">#REF!</definedName>
    <definedName name="BEx3ICF1GY8HQEBIU9S43PDJ90BX" localSheetId="20" hidden="1">#REF!</definedName>
    <definedName name="BEx3ICF1GY8HQEBIU9S43PDJ90BX" hidden="1">#REF!</definedName>
    <definedName name="BEx3IYAH2DEBFWO8F94H4MXE3RLY" localSheetId="20" hidden="1">#REF!</definedName>
    <definedName name="BEx3IYAH2DEBFWO8F94H4MXE3RLY" hidden="1">#REF!</definedName>
    <definedName name="BEx3IZXXSYEW50379N2EAFWO8DZV" localSheetId="20" hidden="1">#REF!</definedName>
    <definedName name="BEx3IZXXSYEW50379N2EAFWO8DZV" hidden="1">#REF!</definedName>
    <definedName name="BEx3J1VZVGTKT4ATPO9O5JCSFTTR" localSheetId="20" hidden="1">#REF!</definedName>
    <definedName name="BEx3J1VZVGTKT4ATPO9O5JCSFTTR" hidden="1">#REF!</definedName>
    <definedName name="BEx3JC2TY7JNAAC3L7QHVPQXLGQ8" localSheetId="20" hidden="1">#REF!</definedName>
    <definedName name="BEx3JC2TY7JNAAC3L7QHVPQXLGQ8" hidden="1">#REF!</definedName>
    <definedName name="BEx3JHMINP1THWDI6C83QR21FBGR" localSheetId="20" hidden="1">#REF!</definedName>
    <definedName name="BEx3JHMINP1THWDI6C83QR21FBGR" hidden="1">#REF!</definedName>
    <definedName name="BEx3JX23SYDIGOGM4Y0CQFBW8ZBV" localSheetId="20" hidden="1">#REF!</definedName>
    <definedName name="BEx3JX23SYDIGOGM4Y0CQFBW8ZBV" hidden="1">#REF!</definedName>
    <definedName name="BEx3JXCXCVBZJGV5VEG9MJEI01AL" localSheetId="20" hidden="1">#REF!</definedName>
    <definedName name="BEx3JXCXCVBZJGV5VEG9MJEI01AL" hidden="1">#REF!</definedName>
    <definedName name="BEx3JY98ZGQOIJAD31AKR12C64LP" localSheetId="20" hidden="1">#REF!</definedName>
    <definedName name="BEx3JY98ZGQOIJAD31AKR12C64LP" hidden="1">#REF!</definedName>
    <definedName name="BEx3JYK2N7X59TPJSKYZ77ENY8SS" localSheetId="20" hidden="1">#REF!</definedName>
    <definedName name="BEx3JYK2N7X59TPJSKYZ77ENY8SS" hidden="1">#REF!</definedName>
    <definedName name="BEx3K4EII7GU1CG0BN7UL15M6J8Z" localSheetId="20" hidden="1">#REF!</definedName>
    <definedName name="BEx3K4EII7GU1CG0BN7UL15M6J8Z" hidden="1">#REF!</definedName>
    <definedName name="BEx3K4ZXQUQ2KYZF74B84SO48XMW" localSheetId="20" hidden="1">#REF!</definedName>
    <definedName name="BEx3K4ZXQUQ2KYZF74B84SO48XMW" hidden="1">#REF!</definedName>
    <definedName name="BEx3K5QZUNWBEQQWDCJDXXFBV4QK" localSheetId="20" hidden="1">#REF!</definedName>
    <definedName name="BEx3K5QZUNWBEQQWDCJDXXFBV4QK" hidden="1">#REF!</definedName>
    <definedName name="BEx3KC6WKRCQX6L4P34ZM7CCJFBT" localSheetId="20" hidden="1">#REF!</definedName>
    <definedName name="BEx3KC6WKRCQX6L4P34ZM7CCJFBT" hidden="1">#REF!</definedName>
    <definedName name="BEx3KEFXUCVNVPH7KSEGAZYX13B5" localSheetId="20" hidden="1">#REF!</definedName>
    <definedName name="BEx3KEFXUCVNVPH7KSEGAZYX13B5" hidden="1">#REF!</definedName>
    <definedName name="BEx3KFXUAF6YXAA47B7Q6X9B3VGB" localSheetId="20" hidden="1">#REF!</definedName>
    <definedName name="BEx3KFXUAF6YXAA47B7Q6X9B3VGB" hidden="1">#REF!</definedName>
    <definedName name="BEx3KIXQYOGMPK4WJJAVBRX4NR28" localSheetId="20" hidden="1">#REF!</definedName>
    <definedName name="BEx3KIXQYOGMPK4WJJAVBRX4NR28" hidden="1">#REF!</definedName>
    <definedName name="BEx3KJOMVOSFZVJUL3GKCNP6DQDS" localSheetId="20" hidden="1">#REF!</definedName>
    <definedName name="BEx3KJOMVOSFZVJUL3GKCNP6DQDS" hidden="1">#REF!</definedName>
    <definedName name="BEx3KP2VRBMORK0QEAZUYCXL3DHJ" localSheetId="20" hidden="1">#REF!</definedName>
    <definedName name="BEx3KP2VRBMORK0QEAZUYCXL3DHJ" hidden="1">#REF!</definedName>
    <definedName name="BEx3L4IN3LI4C26SITKTGAH27CDU" localSheetId="20" hidden="1">#REF!</definedName>
    <definedName name="BEx3L4IN3LI4C26SITKTGAH27CDU" hidden="1">#REF!</definedName>
    <definedName name="BEx3L4YQ0J7ZU0M5QM6YIPCEYC9K" localSheetId="20" hidden="1">#REF!</definedName>
    <definedName name="BEx3L4YQ0J7ZU0M5QM6YIPCEYC9K" hidden="1">#REF!</definedName>
    <definedName name="BEx3L60DJOR7NQN42G7YSAODP1EX" localSheetId="20" hidden="1">#REF!</definedName>
    <definedName name="BEx3L60DJOR7NQN42G7YSAODP1EX" hidden="1">#REF!</definedName>
    <definedName name="BEx3L7D0PI38HWZ7VADU16C9E33D" localSheetId="20" hidden="1">#REF!</definedName>
    <definedName name="BEx3L7D0PI38HWZ7VADU16C9E33D" hidden="1">#REF!</definedName>
    <definedName name="BEx3L7NTB2BHXP26B5F4A3PRTY0Z" localSheetId="20" hidden="1">#REF!</definedName>
    <definedName name="BEx3L7NTB2BHXP26B5F4A3PRTY0Z" hidden="1">#REF!</definedName>
    <definedName name="BEx3LM1PR4Y7KINKMTMKR984GX8Q" localSheetId="20" hidden="1">#REF!</definedName>
    <definedName name="BEx3LM1PR4Y7KINKMTMKR984GX8Q" hidden="1">#REF!</definedName>
    <definedName name="BEx3LPCEZ1C0XEKNCM3YT09JWCUO" localSheetId="20" hidden="1">#REF!</definedName>
    <definedName name="BEx3LPCEZ1C0XEKNCM3YT09JWCUO" hidden="1">#REF!</definedName>
    <definedName name="BEx3LTU80DDHQRJRLVN79J3RC5Z0" localSheetId="20" hidden="1">#REF!</definedName>
    <definedName name="BEx3LTU80DDHQRJRLVN79J3RC5Z0" hidden="1">#REF!</definedName>
    <definedName name="BEx3LUL5EICSTN6KP1M6B7NAHYVO" localSheetId="20" hidden="1">#REF!</definedName>
    <definedName name="BEx3LUL5EICSTN6KP1M6B7NAHYVO" hidden="1">#REF!</definedName>
    <definedName name="BEx3M1MR1K1NQD03H74BFWOK4MWQ" localSheetId="20" hidden="1">#REF!</definedName>
    <definedName name="BEx3M1MR1K1NQD03H74BFWOK4MWQ" hidden="1">#REF!</definedName>
    <definedName name="BEx3M4H77MYUKOOD31H9F80NMVK8" localSheetId="20" hidden="1">#REF!</definedName>
    <definedName name="BEx3M4H77MYUKOOD31H9F80NMVK8" hidden="1">#REF!</definedName>
    <definedName name="BEx3M885DQ9KX2HJ6T6P6HDY9GC4" localSheetId="20" hidden="1">#REF!</definedName>
    <definedName name="BEx3M885DQ9KX2HJ6T6P6HDY9GC4" hidden="1">#REF!</definedName>
    <definedName name="BEx3M9VFX329PZWYC4DMZ6P3W9R2" localSheetId="20" hidden="1">#REF!</definedName>
    <definedName name="BEx3M9VFX329PZWYC4DMZ6P3W9R2" hidden="1">#REF!</definedName>
    <definedName name="BEx3MCQ0L5NQSPA1DGA0QTYSLHNP" localSheetId="20" hidden="1">#REF!</definedName>
    <definedName name="BEx3MCQ0L5NQSPA1DGA0QTYSLHNP" hidden="1">#REF!</definedName>
    <definedName name="BEx3MCQ0VEBV0CZXDS505L38EQ8N" localSheetId="20" hidden="1">#REF!</definedName>
    <definedName name="BEx3MCQ0VEBV0CZXDS505L38EQ8N" hidden="1">#REF!</definedName>
    <definedName name="BEx3ME2HC294KYAUDR73NXYGVDW0" localSheetId="20" hidden="1">#REF!</definedName>
    <definedName name="BEx3ME2HC294KYAUDR73NXYGVDW0" hidden="1">#REF!</definedName>
    <definedName name="BEx3MEYV5LQY0BAL7V3CFAFVOM3T" localSheetId="20" hidden="1">#REF!</definedName>
    <definedName name="BEx3MEYV5LQY0BAL7V3CFAFVOM3T" hidden="1">#REF!</definedName>
    <definedName name="BEx3MREOFWJQEYMCMBL7ZE06NBN6" localSheetId="20" hidden="1">#REF!</definedName>
    <definedName name="BEx3MREOFWJQEYMCMBL7ZE06NBN6" hidden="1">#REF!</definedName>
    <definedName name="BEx3MRPHDEYR919ZKPYTH3O7DQTY" localSheetId="20" hidden="1">#REF!</definedName>
    <definedName name="BEx3MRPHDEYR919ZKPYTH3O7DQTY" hidden="1">#REF!</definedName>
    <definedName name="BEx3NKXF7GYXHBK75UI6MDRUSU0J" localSheetId="20" hidden="1">#REF!</definedName>
    <definedName name="BEx3NKXF7GYXHBK75UI6MDRUSU0J" hidden="1">#REF!</definedName>
    <definedName name="BEx3NLIZ7PHF2XE59ECZ3MD04ZG1" localSheetId="20" hidden="1">#REF!</definedName>
    <definedName name="BEx3NLIZ7PHF2XE59ECZ3MD04ZG1" hidden="1">#REF!</definedName>
    <definedName name="BEx3NMQ4BVC94728AUM7CCX7UHTU" localSheetId="20" hidden="1">#REF!</definedName>
    <definedName name="BEx3NMQ4BVC94728AUM7CCX7UHTU" hidden="1">#REF!</definedName>
    <definedName name="BEx3NNBPZUO6BZU0DLA11SQERG4L" localSheetId="20" hidden="1">#REF!</definedName>
    <definedName name="BEx3NNBPZUO6BZU0DLA11SQERG4L" hidden="1">#REF!</definedName>
    <definedName name="BEx3NR2I4OUFP3Z2QZEDU2PIFIDI" localSheetId="20" hidden="1">#REF!</definedName>
    <definedName name="BEx3NR2I4OUFP3Z2QZEDU2PIFIDI" hidden="1">#REF!</definedName>
    <definedName name="BEx3NVV3RL4UV2EU430NY5LKTPXD" localSheetId="20" hidden="1">#REF!</definedName>
    <definedName name="BEx3NVV3RL4UV2EU430NY5LKTPXD" hidden="1">#REF!</definedName>
    <definedName name="BEx3O1420BO99ELGBDOEK6YUS2AH" localSheetId="20" hidden="1">#REF!</definedName>
    <definedName name="BEx3O1420BO99ELGBDOEK6YUS2AH" hidden="1">#REF!</definedName>
    <definedName name="BEx3O19B8FTTAPVT5DZXQGQXWFR8" localSheetId="20" hidden="1">#REF!</definedName>
    <definedName name="BEx3O19B8FTTAPVT5DZXQGQXWFR8" hidden="1">#REF!</definedName>
    <definedName name="BEx3O208V4211X3WMWUFFIW28Y5U" localSheetId="20" hidden="1">#REF!</definedName>
    <definedName name="BEx3O208V4211X3WMWUFFIW28Y5U" hidden="1">#REF!</definedName>
    <definedName name="BEx3O7JY7N5U41CVEUHYIEK343YH" localSheetId="20" hidden="1">#REF!</definedName>
    <definedName name="BEx3O7JY7N5U41CVEUHYIEK343YH" hidden="1">#REF!</definedName>
    <definedName name="BEx3O85IKWARA6NCJOLRBRJFMEWW" localSheetId="20" hidden="1">[39]Table!#REF!</definedName>
    <definedName name="BEx3O85IKWARA6NCJOLRBRJFMEWW" hidden="1">[39]Table!#REF!</definedName>
    <definedName name="BEx3OFCGQH8N5QT3C8M44CX5CLHX" localSheetId="15" hidden="1">#REF!</definedName>
    <definedName name="BEx3OFCGQH8N5QT3C8M44CX5CLHX" localSheetId="16" hidden="1">#REF!</definedName>
    <definedName name="BEx3OFCGQH8N5QT3C8M44CX5CLHX" localSheetId="20" hidden="1">#REF!</definedName>
    <definedName name="BEx3OFCGQH8N5QT3C8M44CX5CLHX" hidden="1">#REF!</definedName>
    <definedName name="BEx3OJZSCGFRW7SVGBFI0X9DNVMM" localSheetId="20" hidden="1">#REF!</definedName>
    <definedName name="BEx3OJZSCGFRW7SVGBFI0X9DNVMM" hidden="1">#REF!</definedName>
    <definedName name="BEx3ORSBUXAF21MKEY90YJV9AY9A" localSheetId="20" hidden="1">#REF!</definedName>
    <definedName name="BEx3ORSBUXAF21MKEY90YJV9AY9A" hidden="1">#REF!</definedName>
    <definedName name="BEx3OV8BH6PYNZT7C246LOAU9SVX" localSheetId="20" hidden="1">#REF!</definedName>
    <definedName name="BEx3OV8BH6PYNZT7C246LOAU9SVX" hidden="1">#REF!</definedName>
    <definedName name="BEx3OXRYJZUEY6E72UJU0PHLMYAR" localSheetId="20" hidden="1">#REF!</definedName>
    <definedName name="BEx3OXRYJZUEY6E72UJU0PHLMYAR" hidden="1">#REF!</definedName>
    <definedName name="BEx3P59TTRSGQY888P5C1O7M2PQT" localSheetId="20" hidden="1">#REF!</definedName>
    <definedName name="BEx3P59TTRSGQY888P5C1O7M2PQT" hidden="1">#REF!</definedName>
    <definedName name="BEx3PDNRRNKD5GOUBUQFXAHIXLD9" localSheetId="20" hidden="1">#REF!</definedName>
    <definedName name="BEx3PDNRRNKD5GOUBUQFXAHIXLD9" hidden="1">#REF!</definedName>
    <definedName name="BEx3PDT8GNPWLLN02IH1XPV90XYK" localSheetId="20" hidden="1">#REF!</definedName>
    <definedName name="BEx3PDT8GNPWLLN02IH1XPV90XYK" hidden="1">#REF!</definedName>
    <definedName name="BEx3PG24EE6BFX4WK0PD7YR4MWXE" localSheetId="20" hidden="1">#REF!</definedName>
    <definedName name="BEx3PG24EE6BFX4WK0PD7YR4MWXE" hidden="1">#REF!</definedName>
    <definedName name="BEx3PKEMDW8KZEP11IL927C5O7I2" localSheetId="20" hidden="1">#REF!</definedName>
    <definedName name="BEx3PKEMDW8KZEP11IL927C5O7I2" hidden="1">#REF!</definedName>
    <definedName name="BEx3PKJZ1Z7L9S6KV8KXVS6B2FX4" localSheetId="20" hidden="1">#REF!</definedName>
    <definedName name="BEx3PKJZ1Z7L9S6KV8KXVS6B2FX4" hidden="1">#REF!</definedName>
    <definedName name="BEx3PMNG53Z5HY138H99QOMTX8W3" localSheetId="20" hidden="1">#REF!</definedName>
    <definedName name="BEx3PMNG53Z5HY138H99QOMTX8W3" hidden="1">#REF!</definedName>
    <definedName name="BEx3PP1RRSFZ8UC0JC9R91W6LNKW" localSheetId="20" hidden="1">#REF!</definedName>
    <definedName name="BEx3PP1RRSFZ8UC0JC9R91W6LNKW" hidden="1">#REF!</definedName>
    <definedName name="BEx3PPCKN624WDXN9HIU6BDOOFL1" localSheetId="20" hidden="1">#REF!</definedName>
    <definedName name="BEx3PPCKN624WDXN9HIU6BDOOFL1" hidden="1">#REF!</definedName>
    <definedName name="BEx3PVXYZC8WB9ZJE7OCKUXZ46EA" localSheetId="20" hidden="1">#REF!</definedName>
    <definedName name="BEx3PVXYZC8WB9ZJE7OCKUXZ46EA" hidden="1">#REF!</definedName>
    <definedName name="BEx3Q0VWPU5EQECK7MQ47TYJ3SWW" localSheetId="20" hidden="1">#REF!</definedName>
    <definedName name="BEx3Q0VWPU5EQECK7MQ47TYJ3SWW" hidden="1">#REF!</definedName>
    <definedName name="BEx3Q7BZ9PUXK2RLIOFSIS9AHU1B" localSheetId="20" hidden="1">#REF!</definedName>
    <definedName name="BEx3Q7BZ9PUXK2RLIOFSIS9AHU1B" hidden="1">#REF!</definedName>
    <definedName name="BEx3Q8J42S9VU6EAN2Y28MR6DF88" localSheetId="20" hidden="1">#REF!</definedName>
    <definedName name="BEx3Q8J42S9VU6EAN2Y28MR6DF88" hidden="1">#REF!</definedName>
    <definedName name="BEx3QEDFOYFY5NBTININ5W4RLD4Q" localSheetId="20" hidden="1">#REF!</definedName>
    <definedName name="BEx3QEDFOYFY5NBTININ5W4RLD4Q" hidden="1">#REF!</definedName>
    <definedName name="BEx3QIKJ3U962US1Q564NZDLU8LD" localSheetId="20" hidden="1">#REF!</definedName>
    <definedName name="BEx3QIKJ3U962US1Q564NZDLU8LD" hidden="1">#REF!</definedName>
    <definedName name="BEx3QLKKMOCYGB7DSNC29XGRU52O" localSheetId="20" hidden="1">#REF!</definedName>
    <definedName name="BEx3QLKKMOCYGB7DSNC29XGRU52O" hidden="1">#REF!</definedName>
    <definedName name="BEx3QR9D45DHW50VQ7Y3Q1AXPOB9" localSheetId="20" hidden="1">#REF!</definedName>
    <definedName name="BEx3QR9D45DHW50VQ7Y3Q1AXPOB9" hidden="1">#REF!</definedName>
    <definedName name="BEx3QSWT2S5KWG6U2V9711IYDQBM" localSheetId="20" hidden="1">#REF!</definedName>
    <definedName name="BEx3QSWT2S5KWG6U2V9711IYDQBM" hidden="1">#REF!</definedName>
    <definedName name="BEx3QU9AM2D9N0887SF1H9427JKU" localSheetId="20" hidden="1">#REF!</definedName>
    <definedName name="BEx3QU9AM2D9N0887SF1H9427JKU" hidden="1">#REF!</definedName>
    <definedName name="BEx3QVGG7Q2X4HZHJAM35A8T3VR7" localSheetId="20" hidden="1">#REF!</definedName>
    <definedName name="BEx3QVGG7Q2X4HZHJAM35A8T3VR7" hidden="1">#REF!</definedName>
    <definedName name="BEx3R0JUB9YN8PHPPQTAMIT1IHWK" localSheetId="20" hidden="1">#REF!</definedName>
    <definedName name="BEx3R0JUB9YN8PHPPQTAMIT1IHWK" hidden="1">#REF!</definedName>
    <definedName name="BEx3R81NFRO7M81VHVKOBFT0QBIL" localSheetId="20" hidden="1">#REF!</definedName>
    <definedName name="BEx3R81NFRO7M81VHVKOBFT0QBIL" hidden="1">#REF!</definedName>
    <definedName name="BEx3R8N7YCUKJFKXRC8VVKDGUCWT" localSheetId="20" hidden="1">#REF!</definedName>
    <definedName name="BEx3R8N7YCUKJFKXRC8VVKDGUCWT" hidden="1">#REF!</definedName>
    <definedName name="BEx3RFJCSRTFFKD3A8DC3F4ZHW92" localSheetId="20" hidden="1">#REF!</definedName>
    <definedName name="BEx3RFJCSRTFFKD3A8DC3F4ZHW92" hidden="1">#REF!</definedName>
    <definedName name="BEx3RHC2ZD5UFS6QD4OPFCNNMWH1" localSheetId="20" hidden="1">#REF!</definedName>
    <definedName name="BEx3RHC2ZD5UFS6QD4OPFCNNMWH1" hidden="1">#REF!</definedName>
    <definedName name="BEx3RHMVYSP3UJFE4JFGYN439AJK" localSheetId="20" hidden="1">#REF!</definedName>
    <definedName name="BEx3RHMVYSP3UJFE4JFGYN439AJK" hidden="1">#REF!</definedName>
    <definedName name="BEx3RKHARL8IJX5B7DY70B7NIRVT" localSheetId="20" hidden="1">#REF!</definedName>
    <definedName name="BEx3RKHARL8IJX5B7DY70B7NIRVT" hidden="1">#REF!</definedName>
    <definedName name="BEx3RQ10QIWBAPHALAA91BUUCM2X" localSheetId="20" hidden="1">#REF!</definedName>
    <definedName name="BEx3RQ10QIWBAPHALAA91BUUCM2X" hidden="1">#REF!</definedName>
    <definedName name="BEx3RV4E1WT43SZBUN09RTB8EK1O" localSheetId="20" hidden="1">#REF!</definedName>
    <definedName name="BEx3RV4E1WT43SZBUN09RTB8EK1O" hidden="1">#REF!</definedName>
    <definedName name="BEx3RXO31FBRRLV0JNYV5WKXBI0B" localSheetId="20" hidden="1">#REF!</definedName>
    <definedName name="BEx3RXO31FBRRLV0JNYV5WKXBI0B" hidden="1">#REF!</definedName>
    <definedName name="BEx3RXYU0QLFXSFTM5EB20GD03W5" localSheetId="20" hidden="1">#REF!</definedName>
    <definedName name="BEx3RXYU0QLFXSFTM5EB20GD03W5" hidden="1">#REF!</definedName>
    <definedName name="BEx3RYKLC3QQO3XTUN7BEW2AQL98" localSheetId="20" hidden="1">#REF!</definedName>
    <definedName name="BEx3RYKLC3QQO3XTUN7BEW2AQL98" hidden="1">#REF!</definedName>
    <definedName name="BEx3S0D6JUMB108LOCZDSMZJEEJ5" localSheetId="20" hidden="1">#REF!</definedName>
    <definedName name="BEx3S0D6JUMB108LOCZDSMZJEEJ5" hidden="1">#REF!</definedName>
    <definedName name="BEx3SHWF5FZ1ENNWE8YT6JTBCDWU" localSheetId="20" hidden="1">#REF!</definedName>
    <definedName name="BEx3SHWF5FZ1ENNWE8YT6JTBCDWU" hidden="1">#REF!</definedName>
    <definedName name="BEx3SICJ45BYT6FHBER86PJT25FC" localSheetId="20" hidden="1">#REF!</definedName>
    <definedName name="BEx3SICJ45BYT6FHBER86PJT25FC" hidden="1">#REF!</definedName>
    <definedName name="BEx3SMUCMJVGQ2H4EHQI5ZFHEF0P" localSheetId="20" hidden="1">#REF!</definedName>
    <definedName name="BEx3SMUCMJVGQ2H4EHQI5ZFHEF0P" hidden="1">#REF!</definedName>
    <definedName name="BEx3SN56F03CPDRDA7LZ763V0N4I" localSheetId="20" hidden="1">#REF!</definedName>
    <definedName name="BEx3SN56F03CPDRDA7LZ763V0N4I" hidden="1">#REF!</definedName>
    <definedName name="BEx3SPE6N1ORXPRCDL3JPZD73Z9F" localSheetId="20" hidden="1">#REF!</definedName>
    <definedName name="BEx3SPE6N1ORXPRCDL3JPZD73Z9F" hidden="1">#REF!</definedName>
    <definedName name="BEx3T29ZTULQE0OMSMWUMZDU9ZZ0" localSheetId="20" hidden="1">#REF!</definedName>
    <definedName name="BEx3T29ZTULQE0OMSMWUMZDU9ZZ0" hidden="1">#REF!</definedName>
    <definedName name="BEx3T6MJ1QDJ929WMUDVZ0O3UW0Y" localSheetId="20" hidden="1">#REF!</definedName>
    <definedName name="BEx3T6MJ1QDJ929WMUDVZ0O3UW0Y" hidden="1">#REF!</definedName>
    <definedName name="BEx3T90SRPHVFZGKZPEL156PTBLG" localSheetId="20" hidden="1">#REF!</definedName>
    <definedName name="BEx3T90SRPHVFZGKZPEL156PTBLG" hidden="1">#REF!</definedName>
    <definedName name="BEx3TMNO7NM03FQTML6ZEBRQXY0M" localSheetId="20" hidden="1">#REF!</definedName>
    <definedName name="BEx3TMNO7NM03FQTML6ZEBRQXY0M" hidden="1">#REF!</definedName>
    <definedName name="BEx3TPCSI16OAB2L9M9IULQMQ9J9" localSheetId="20" hidden="1">#REF!</definedName>
    <definedName name="BEx3TPCSI16OAB2L9M9IULQMQ9J9" hidden="1">#REF!</definedName>
    <definedName name="BEx3U64YUOZ419BAJS2W78UMATAW" localSheetId="20" hidden="1">#REF!</definedName>
    <definedName name="BEx3U64YUOZ419BAJS2W78UMATAW" hidden="1">#REF!</definedName>
    <definedName name="BEx3U94WCEA5DKMWBEX1GU0LKYG2" localSheetId="20" hidden="1">#REF!</definedName>
    <definedName name="BEx3U94WCEA5DKMWBEX1GU0LKYG2" hidden="1">#REF!</definedName>
    <definedName name="BEx3U9VZ8SQVYS6ZA038J7AP7ZGW" localSheetId="20" hidden="1">#REF!</definedName>
    <definedName name="BEx3U9VZ8SQVYS6ZA038J7AP7ZGW" hidden="1">#REF!</definedName>
    <definedName name="BEx3UG11PSVRK9DW5ZNKOB4T24MN" localSheetId="20" hidden="1">'[38]10.08.5 - 2008 Capital - TDBU'!#REF!</definedName>
    <definedName name="BEx3UG11PSVRK9DW5ZNKOB4T24MN" hidden="1">'[38]10.08.5 - 2008 Capital - TDBU'!#REF!</definedName>
    <definedName name="BEx3UIQ5B7PL8QJ6RI0LF7QJWLLO" localSheetId="15" hidden="1">#REF!</definedName>
    <definedName name="BEx3UIQ5B7PL8QJ6RI0LF7QJWLLO" localSheetId="16" hidden="1">#REF!</definedName>
    <definedName name="BEx3UIQ5B7PL8QJ6RI0LF7QJWLLO" localSheetId="20" hidden="1">#REF!</definedName>
    <definedName name="BEx3UIQ5B7PL8QJ6RI0LF7QJWLLO" hidden="1">#REF!</definedName>
    <definedName name="BEx3UIQ5WRJBGNTFCCLOR4N7B1OQ" localSheetId="20" hidden="1">#REF!</definedName>
    <definedName name="BEx3UIQ5WRJBGNTFCCLOR4N7B1OQ" hidden="1">#REF!</definedName>
    <definedName name="BEx3UJMIX2NUSSWGMSI25A5DM4CH" localSheetId="20" hidden="1">#REF!</definedName>
    <definedName name="BEx3UJMIX2NUSSWGMSI25A5DM4CH" hidden="1">#REF!</definedName>
    <definedName name="BEx3UKOCOQG7S1YQ436S997K1KWV" localSheetId="20" hidden="1">#REF!</definedName>
    <definedName name="BEx3UKOCOQG7S1YQ436S997K1KWV" hidden="1">#REF!</definedName>
    <definedName name="BEx3UQ7WT8T56S476IYJBFTP1FBY" localSheetId="20" hidden="1">'[38]10.08.5 - 2008 Capital - TDBU'!#REF!</definedName>
    <definedName name="BEx3UQ7WT8T56S476IYJBFTP1FBY" hidden="1">'[38]10.08.5 - 2008 Capital - TDBU'!#REF!</definedName>
    <definedName name="BEx3UU46FGPB8C5GM6QZZZNI8FY1" localSheetId="15" hidden="1">#REF!</definedName>
    <definedName name="BEx3UU46FGPB8C5GM6QZZZNI8FY1" localSheetId="16" hidden="1">#REF!</definedName>
    <definedName name="BEx3UU46FGPB8C5GM6QZZZNI8FY1" localSheetId="20" hidden="1">#REF!</definedName>
    <definedName name="BEx3UU46FGPB8C5GM6QZZZNI8FY1" hidden="1">#REF!</definedName>
    <definedName name="BEx3UYM19VIXLA0EU7LB9NHA77PB" localSheetId="20" hidden="1">#REF!</definedName>
    <definedName name="BEx3UYM19VIXLA0EU7LB9NHA77PB" hidden="1">#REF!</definedName>
    <definedName name="BEx3V0EPR8DD44FA1TJFATXBJ5BA" localSheetId="20" hidden="1">#REF!</definedName>
    <definedName name="BEx3V0EPR8DD44FA1TJFATXBJ5BA" hidden="1">#REF!</definedName>
    <definedName name="BEx3VML7CG70HPISMVYIUEN3711Q" localSheetId="20" hidden="1">#REF!</definedName>
    <definedName name="BEx3VML7CG70HPISMVYIUEN3711Q" hidden="1">#REF!</definedName>
    <definedName name="BEx56ZID5H04P9AIYLP1OASFGV56" localSheetId="20" hidden="1">#REF!</definedName>
    <definedName name="BEx56ZID5H04P9AIYLP1OASFGV56" hidden="1">#REF!</definedName>
    <definedName name="BEx57VVOKGYOTHR9Z8AJNKRDSU20" localSheetId="20" hidden="1">#REF!</definedName>
    <definedName name="BEx57VVOKGYOTHR9Z8AJNKRDSU20" hidden="1">#REF!</definedName>
    <definedName name="BEx587EYSS57E3PI8DT973HLJM9E" localSheetId="20" hidden="1">#REF!</definedName>
    <definedName name="BEx587EYSS57E3PI8DT973HLJM9E" hidden="1">#REF!</definedName>
    <definedName name="BEx587KFQ3VKCOCY1SA5F24PQGUI" localSheetId="20" hidden="1">#REF!</definedName>
    <definedName name="BEx587KFQ3VKCOCY1SA5F24PQGUI" hidden="1">#REF!</definedName>
    <definedName name="BEx589YSF6Z3BES2WDO9VJF6J7RD" localSheetId="20" hidden="1">#REF!</definedName>
    <definedName name="BEx589YSF6Z3BES2WDO9VJF6J7RD" hidden="1">#REF!</definedName>
    <definedName name="BEx58HRBEO7GYHL70I9S0DIIR5Y3" localSheetId="20" hidden="1">#REF!</definedName>
    <definedName name="BEx58HRBEO7GYHL70I9S0DIIR5Y3" hidden="1">#REF!</definedName>
    <definedName name="BEx58O1WGJ5ARYSTQ7E7Z9CZ70FW" localSheetId="20" hidden="1">#REF!</definedName>
    <definedName name="BEx58O1WGJ5ARYSTQ7E7Z9CZ70FW" hidden="1">#REF!</definedName>
    <definedName name="BEx58O780PQ05NF0Z1SKKRB3N099" localSheetId="20" hidden="1">#REF!</definedName>
    <definedName name="BEx58O780PQ05NF0Z1SKKRB3N099" hidden="1">#REF!</definedName>
    <definedName name="BEx58XHO7ZULLF2EUD7YIS0MGQJ5" localSheetId="20" hidden="1">#REF!</definedName>
    <definedName name="BEx58XHO7ZULLF2EUD7YIS0MGQJ5" hidden="1">#REF!</definedName>
    <definedName name="BEx58ZW0HAIGIPEX9CVA1PQQTR6X" localSheetId="20" hidden="1">#REF!</definedName>
    <definedName name="BEx58ZW0HAIGIPEX9CVA1PQQTR6X" hidden="1">#REF!</definedName>
    <definedName name="BEx59BA1KH3RG6K1LHL7YS2VB79N" localSheetId="20" hidden="1">#REF!</definedName>
    <definedName name="BEx59BA1KH3RG6K1LHL7YS2VB79N" hidden="1">#REF!</definedName>
    <definedName name="BEx59E9WABJP2TN71QAIKK79HPK9" localSheetId="20" hidden="1">#REF!</definedName>
    <definedName name="BEx59E9WABJP2TN71QAIKK79HPK9" hidden="1">#REF!</definedName>
    <definedName name="BEx59P7MAPNU129ZTC5H3EH892G1" localSheetId="20" hidden="1">#REF!</definedName>
    <definedName name="BEx59P7MAPNU129ZTC5H3EH892G1" hidden="1">#REF!</definedName>
    <definedName name="BEx5A11WZRQSIE089QE119AOX9ZG" localSheetId="20" hidden="1">#REF!</definedName>
    <definedName name="BEx5A11WZRQSIE089QE119AOX9ZG" hidden="1">#REF!</definedName>
    <definedName name="BEx5A6ATFUVEJ0HUDROD1OO0CGV5" localSheetId="20" hidden="1">#REF!</definedName>
    <definedName name="BEx5A6ATFUVEJ0HUDROD1OO0CGV5" hidden="1">#REF!</definedName>
    <definedName name="BEx5A7CIGCOTHJKHGUBDZG91JGPZ" localSheetId="20" hidden="1">#REF!</definedName>
    <definedName name="BEx5A7CIGCOTHJKHGUBDZG91JGPZ" hidden="1">#REF!</definedName>
    <definedName name="BEx5A8UFLT2SWVSG5COFA9B8P376" localSheetId="20" hidden="1">#REF!</definedName>
    <definedName name="BEx5A8UFLT2SWVSG5COFA9B8P376" hidden="1">#REF!</definedName>
    <definedName name="BEx5AFFTN3IXIBHDKM0FYC4OFL1S" localSheetId="20" hidden="1">#REF!</definedName>
    <definedName name="BEx5AFFTN3IXIBHDKM0FYC4OFL1S" hidden="1">#REF!</definedName>
    <definedName name="BEx5AOFIO8KVRHIZ1RII337AA8ML" localSheetId="20" hidden="1">#REF!</definedName>
    <definedName name="BEx5AOFIO8KVRHIZ1RII337AA8ML" hidden="1">#REF!</definedName>
    <definedName name="BEx5APRZ66L5BWHFE8E4YYNEDTI4" localSheetId="20" hidden="1">#REF!</definedName>
    <definedName name="BEx5APRZ66L5BWHFE8E4YYNEDTI4" hidden="1">#REF!</definedName>
    <definedName name="BEx5ARVI26GBOMZ6NBHE2KUBTNSP" localSheetId="20" hidden="1">'[38]10.08.3 - 2008 Expense - TDBU'!#REF!</definedName>
    <definedName name="BEx5ARVI26GBOMZ6NBHE2KUBTNSP" hidden="1">'[38]10.08.3 - 2008 Expense - TDBU'!#REF!</definedName>
    <definedName name="BEx5AUVDSQ35VO4BD9AKKGBM5S7D" localSheetId="15" hidden="1">#REF!</definedName>
    <definedName name="BEx5AUVDSQ35VO4BD9AKKGBM5S7D" localSheetId="16" hidden="1">#REF!</definedName>
    <definedName name="BEx5AUVDSQ35VO4BD9AKKGBM5S7D" localSheetId="20" hidden="1">#REF!</definedName>
    <definedName name="BEx5AUVDSQ35VO4BD9AKKGBM5S7D" hidden="1">#REF!</definedName>
    <definedName name="BEx5B4RHHX0J1BF2FZKEA0SPP29O" localSheetId="20" hidden="1">#REF!</definedName>
    <definedName name="BEx5B4RHHX0J1BF2FZKEA0SPP29O" hidden="1">#REF!</definedName>
    <definedName name="BEx5B5YMSWP0OVI5CIQRP5V18D0C" localSheetId="20" hidden="1">#REF!</definedName>
    <definedName name="BEx5B5YMSWP0OVI5CIQRP5V18D0C" hidden="1">#REF!</definedName>
    <definedName name="BEx5B825RW35M5H0UB2IZGGRS4ER" localSheetId="20" hidden="1">#REF!</definedName>
    <definedName name="BEx5B825RW35M5H0UB2IZGGRS4ER" hidden="1">#REF!</definedName>
    <definedName name="BEx5BAWPMY0TL684WDXX6KKJLRCN" localSheetId="20" hidden="1">#REF!</definedName>
    <definedName name="BEx5BAWPMY0TL684WDXX6KKJLRCN" hidden="1">#REF!</definedName>
    <definedName name="BEx5BBI61U4Y65GD0ARMTALPP7SJ" localSheetId="20" hidden="1">#REF!</definedName>
    <definedName name="BEx5BBI61U4Y65GD0ARMTALPP7SJ" hidden="1">#REF!</definedName>
    <definedName name="BEx5BD5L6LIQ99M87XJMWWNL031Z" localSheetId="20" hidden="1">#REF!</definedName>
    <definedName name="BEx5BD5L6LIQ99M87XJMWWNL031Z" hidden="1">#REF!</definedName>
    <definedName name="BEx5BDR56MEV4IHY6CIH2SVNG1UB" localSheetId="20" hidden="1">#REF!</definedName>
    <definedName name="BEx5BDR56MEV4IHY6CIH2SVNG1UB" hidden="1">#REF!</definedName>
    <definedName name="BEx5BESZC5H329SKHGJOHZFILYJJ" localSheetId="20" hidden="1">#REF!</definedName>
    <definedName name="BEx5BESZC5H329SKHGJOHZFILYJJ" hidden="1">#REF!</definedName>
    <definedName name="BEx5BHSQ42B50IU1TEQFUXFX9XQD" localSheetId="20" hidden="1">#REF!</definedName>
    <definedName name="BEx5BHSQ42B50IU1TEQFUXFX9XQD" hidden="1">#REF!</definedName>
    <definedName name="BEx5BKHUCQEM4FA2DEQUKKC2QEYR" localSheetId="20" hidden="1">#REF!</definedName>
    <definedName name="BEx5BKHUCQEM4FA2DEQUKKC2QEYR" hidden="1">#REF!</definedName>
    <definedName name="BEx5BKSM4UN4C1DM3EYKM79MRC5K" localSheetId="20" hidden="1">#REF!</definedName>
    <definedName name="BEx5BKSM4UN4C1DM3EYKM79MRC5K" hidden="1">#REF!</definedName>
    <definedName name="BEx5BNN8NPH9KVOBARB9CDD9WLB6" localSheetId="20" hidden="1">#REF!</definedName>
    <definedName name="BEx5BNN8NPH9KVOBARB9CDD9WLB6" hidden="1">#REF!</definedName>
    <definedName name="BEx5BQ6UF5C89VX5ZUUUNN7Q2S3Z" localSheetId="20" hidden="1">#REF!</definedName>
    <definedName name="BEx5BQ6UF5C89VX5ZUUUNN7Q2S3Z" hidden="1">#REF!</definedName>
    <definedName name="BEx5BWC3RHNNZZNXQ3IJ1GNNZW7M" localSheetId="20" hidden="1">#REF!</definedName>
    <definedName name="BEx5BWC3RHNNZZNXQ3IJ1GNNZW7M" hidden="1">#REF!</definedName>
    <definedName name="BEx5BXJATFA4GZNILN2UJ1D2AOGO" localSheetId="20" hidden="1">#REF!</definedName>
    <definedName name="BEx5BXJATFA4GZNILN2UJ1D2AOGO" hidden="1">#REF!</definedName>
    <definedName name="BEx5BYFMZ80TDDN2EZO8CF39AIAC" localSheetId="20" hidden="1">#REF!</definedName>
    <definedName name="BEx5BYFMZ80TDDN2EZO8CF39AIAC" hidden="1">#REF!</definedName>
    <definedName name="BEx5C2BWFW6SHZBFDEISKGXHZCQW" localSheetId="20" hidden="1">#REF!</definedName>
    <definedName name="BEx5C2BWFW6SHZBFDEISKGXHZCQW" hidden="1">#REF!</definedName>
    <definedName name="BEx5C49ZFH8TO9ZU55729C3F7XG7" localSheetId="20" hidden="1">#REF!</definedName>
    <definedName name="BEx5C49ZFH8TO9ZU55729C3F7XG7" hidden="1">#REF!</definedName>
    <definedName name="BEx5C8GZQK13G60ZM70P63I5OS0L" localSheetId="20" hidden="1">#REF!</definedName>
    <definedName name="BEx5C8GZQK13G60ZM70P63I5OS0L" hidden="1">#REF!</definedName>
    <definedName name="BEx5CAPTVN2NBT3UOMA1UFAL1C2R" localSheetId="20" hidden="1">#REF!</definedName>
    <definedName name="BEx5CAPTVN2NBT3UOMA1UFAL1C2R" hidden="1">#REF!</definedName>
    <definedName name="BEx5CEM3SYF9XP0ZZVE0GEPCLV3F" localSheetId="20" hidden="1">#REF!</definedName>
    <definedName name="BEx5CEM3SYF9XP0ZZVE0GEPCLV3F" hidden="1">#REF!</definedName>
    <definedName name="BEx5CFYQ0F1Z6P8SCVJ0I3UPVFE4" localSheetId="20" hidden="1">#REF!</definedName>
    <definedName name="BEx5CFYQ0F1Z6P8SCVJ0I3UPVFE4" hidden="1">#REF!</definedName>
    <definedName name="BEx5CINUDCSDCAJSNNV7XVNU8Q79" localSheetId="20" hidden="1">#REF!</definedName>
    <definedName name="BEx5CINUDCSDCAJSNNV7XVNU8Q79" hidden="1">#REF!</definedName>
    <definedName name="BEx5CNLUIOYU8EODGA03Z3547I9T" localSheetId="20" hidden="1">#REF!</definedName>
    <definedName name="BEx5CNLUIOYU8EODGA03Z3547I9T" hidden="1">#REF!</definedName>
    <definedName name="BEx5CPEKNSJORIPFQC2E1LTRYY8L" localSheetId="20" hidden="1">#REF!</definedName>
    <definedName name="BEx5CPEKNSJORIPFQC2E1LTRYY8L" hidden="1">#REF!</definedName>
    <definedName name="BEx5CSUOL05D8PAM2TRDA9VRJT1O" localSheetId="20" hidden="1">#REF!</definedName>
    <definedName name="BEx5CSUOL05D8PAM2TRDA9VRJT1O" hidden="1">#REF!</definedName>
    <definedName name="BEx5CUNFOO4YDFJ22HCMI2QKIGKM" localSheetId="20" hidden="1">#REF!</definedName>
    <definedName name="BEx5CUNFOO4YDFJ22HCMI2QKIGKM" hidden="1">#REF!</definedName>
    <definedName name="BEx5D2W3OTZO7F8Q91CV254Q4LKE" localSheetId="20" hidden="1">#REF!</definedName>
    <definedName name="BEx5D2W3OTZO7F8Q91CV254Q4LKE" hidden="1">#REF!</definedName>
    <definedName name="BEx5D5W0OED6788ZKXNBW6BMYRB4" localSheetId="20" hidden="1">#REF!</definedName>
    <definedName name="BEx5D5W0OED6788ZKXNBW6BMYRB4" hidden="1">#REF!</definedName>
    <definedName name="BEx5D8L47OF0WHBPFWXGZINZWUBZ" localSheetId="20" hidden="1">#REF!</definedName>
    <definedName name="BEx5D8L47OF0WHBPFWXGZINZWUBZ" hidden="1">#REF!</definedName>
    <definedName name="BEx5DAJAHQ2SKUPCKSCR3PYML67L" localSheetId="20" hidden="1">#REF!</definedName>
    <definedName name="BEx5DAJAHQ2SKUPCKSCR3PYML67L" hidden="1">#REF!</definedName>
    <definedName name="BEx5DC18JM1KJCV44PF18E0LNRKA" localSheetId="20" hidden="1">#REF!</definedName>
    <definedName name="BEx5DC18JM1KJCV44PF18E0LNRKA" hidden="1">#REF!</definedName>
    <definedName name="BEx5DJIZBTNS011R9IIG2OQ2L6ZX" localSheetId="20" hidden="1">#REF!</definedName>
    <definedName name="BEx5DJIZBTNS011R9IIG2OQ2L6ZX" hidden="1">#REF!</definedName>
    <definedName name="BEx5E123OLO9WQUOIRIDJ967KAGK" localSheetId="20" hidden="1">#REF!</definedName>
    <definedName name="BEx5E123OLO9WQUOIRIDJ967KAGK" hidden="1">#REF!</definedName>
    <definedName name="BEx5E2UU5NES6W779W2OZTZOB4O7" localSheetId="20" hidden="1">#REF!</definedName>
    <definedName name="BEx5E2UU5NES6W779W2OZTZOB4O7" hidden="1">#REF!</definedName>
    <definedName name="BEx5E4CSE5G83J5K32WENF7BXL82" localSheetId="20" hidden="1">#REF!</definedName>
    <definedName name="BEx5E4CSE5G83J5K32WENF7BXL82" hidden="1">#REF!</definedName>
    <definedName name="BEx5ELQL9B0VR6UT18KP11DHOTFX" localSheetId="20" hidden="1">#REF!</definedName>
    <definedName name="BEx5ELQL9B0VR6UT18KP11DHOTFX" hidden="1">#REF!</definedName>
    <definedName name="BEx5ER4TJTFPN7IB1MNEB1ZFR5M6" localSheetId="20" hidden="1">#REF!</definedName>
    <definedName name="BEx5ER4TJTFPN7IB1MNEB1ZFR5M6" hidden="1">#REF!</definedName>
    <definedName name="BEx5EW87ACRI46LAKG0VDJVFLG7R" localSheetId="20" hidden="1">#REF!</definedName>
    <definedName name="BEx5EW87ACRI46LAKG0VDJVFLG7R" hidden="1">#REF!</definedName>
    <definedName name="BEx5F6KF3SROYIFF0A1HJRV87YZC" localSheetId="20" hidden="1">#REF!</definedName>
    <definedName name="BEx5F6KF3SROYIFF0A1HJRV87YZC" hidden="1">#REF!</definedName>
    <definedName name="BEx5F6V72QTCK7O39Y59R0EVM6CW" localSheetId="20" hidden="1">#REF!</definedName>
    <definedName name="BEx5F6V72QTCK7O39Y59R0EVM6CW" hidden="1">#REF!</definedName>
    <definedName name="BEx5F9K9B2XA4LVU2LJMI89AW8BO" localSheetId="20" hidden="1">#REF!</definedName>
    <definedName name="BEx5F9K9B2XA4LVU2LJMI89AW8BO" hidden="1">#REF!</definedName>
    <definedName name="BEx5FGLQVACD5F5YZG4DGSCHCGO2" localSheetId="20" hidden="1">#REF!</definedName>
    <definedName name="BEx5FGLQVACD5F5YZG4DGSCHCGO2" hidden="1">#REF!</definedName>
    <definedName name="BEx5FLJWHLW3BTZILDPN5NMA449V" localSheetId="20" hidden="1">#REF!</definedName>
    <definedName name="BEx5FLJWHLW3BTZILDPN5NMA449V" hidden="1">#REF!</definedName>
    <definedName name="BEx5FNI2O10YN2SI1NO4X5GP3GTF" localSheetId="20" hidden="1">#REF!</definedName>
    <definedName name="BEx5FNI2O10YN2SI1NO4X5GP3GTF" hidden="1">#REF!</definedName>
    <definedName name="BEx5FO8YRFSZCG3L608EHIHIHFY4" localSheetId="20" hidden="1">#REF!</definedName>
    <definedName name="BEx5FO8YRFSZCG3L608EHIHIHFY4" hidden="1">#REF!</definedName>
    <definedName name="BEx5FOUK8T0EOTFUKGIWKKOE6F7G" localSheetId="20" hidden="1">#REF!</definedName>
    <definedName name="BEx5FOUK8T0EOTFUKGIWKKOE6F7G" hidden="1">#REF!</definedName>
    <definedName name="BEx5FQNA6V4CNYSH013K45RI4BCV" localSheetId="20" hidden="1">#REF!</definedName>
    <definedName name="BEx5FQNA6V4CNYSH013K45RI4BCV" hidden="1">#REF!</definedName>
    <definedName name="BEx5FVQPPEU32CPNV9RRQ9MNLLVE" localSheetId="20" hidden="1">#REF!</definedName>
    <definedName name="BEx5FVQPPEU32CPNV9RRQ9MNLLVE" hidden="1">#REF!</definedName>
    <definedName name="BEx5FZC6RK92TU32WZ4N099LWYKZ" localSheetId="20" hidden="1">#REF!</definedName>
    <definedName name="BEx5FZC6RK92TU32WZ4N099LWYKZ" hidden="1">#REF!</definedName>
    <definedName name="BEx5G08KGMG5X2AQKDGPFYG5GH94" localSheetId="20" hidden="1">#REF!</definedName>
    <definedName name="BEx5G08KGMG5X2AQKDGPFYG5GH94" hidden="1">#REF!</definedName>
    <definedName name="BEx5G1A8TFN4C4QII35U9DKYNIS8" localSheetId="20" hidden="1">#REF!</definedName>
    <definedName name="BEx5G1A8TFN4C4QII35U9DKYNIS8" hidden="1">#REF!</definedName>
    <definedName name="BEx5G1L0QO91KEPDMV1D8OT4BT73" localSheetId="20" hidden="1">#REF!</definedName>
    <definedName name="BEx5G1L0QO91KEPDMV1D8OT4BT73" hidden="1">#REF!</definedName>
    <definedName name="BEx5G86DZL1VYUX6KWODAP3WFAWP" localSheetId="20" hidden="1">#REF!</definedName>
    <definedName name="BEx5G86DZL1VYUX6KWODAP3WFAWP" hidden="1">#REF!</definedName>
    <definedName name="BEx5G8BV2GIOCM3C7IUFK8L04A6M" localSheetId="20" hidden="1">#REF!</definedName>
    <definedName name="BEx5G8BV2GIOCM3C7IUFK8L04A6M" hidden="1">#REF!</definedName>
    <definedName name="BEx5GID9MVBUPFFT9M8K8B5MO9NV" localSheetId="20" hidden="1">#REF!</definedName>
    <definedName name="BEx5GID9MVBUPFFT9M8K8B5MO9NV" hidden="1">#REF!</definedName>
    <definedName name="BEx5GN0EWA9SCQDPQ7NTUQH82QVK" localSheetId="20" hidden="1">#REF!</definedName>
    <definedName name="BEx5GN0EWA9SCQDPQ7NTUQH82QVK" hidden="1">#REF!</definedName>
    <definedName name="BEx5GNBCU4WZ74I0UXFL9ZG2XSGJ" localSheetId="20" hidden="1">#REF!</definedName>
    <definedName name="BEx5GNBCU4WZ74I0UXFL9ZG2XSGJ" hidden="1">#REF!</definedName>
    <definedName name="BEx5GUCTYC7QCWGWU5BTO7Y7HDZX" localSheetId="20" hidden="1">#REF!</definedName>
    <definedName name="BEx5GUCTYC7QCWGWU5BTO7Y7HDZX" hidden="1">#REF!</definedName>
    <definedName name="BEx5GYUPJULJQ624TEESYFG1NFOH" localSheetId="20" hidden="1">#REF!</definedName>
    <definedName name="BEx5GYUPJULJQ624TEESYFG1NFOH" hidden="1">#REF!</definedName>
    <definedName name="BEx5H0NEE0AIN5E2UHJ9J9ISU9N1" localSheetId="20" hidden="1">#REF!</definedName>
    <definedName name="BEx5H0NEE0AIN5E2UHJ9J9ISU9N1" hidden="1">#REF!</definedName>
    <definedName name="BEx5H1UJSEUQM2K8QHQXO5THVHSO" localSheetId="20" hidden="1">#REF!</definedName>
    <definedName name="BEx5H1UJSEUQM2K8QHQXO5THVHSO" hidden="1">#REF!</definedName>
    <definedName name="BEx5H78SWSMTWKQVAC01YN6480JD" localSheetId="20" hidden="1">#REF!</definedName>
    <definedName name="BEx5H78SWSMTWKQVAC01YN6480JD" hidden="1">#REF!</definedName>
    <definedName name="BEx5HAOT9XWUF7XIFRZZS8B9F5TZ" localSheetId="20" hidden="1">#REF!</definedName>
    <definedName name="BEx5HAOT9XWUF7XIFRZZS8B9F5TZ" hidden="1">#REF!</definedName>
    <definedName name="BEx5HE4XRF9BUY04MENWY9CHHN5H" localSheetId="20" hidden="1">#REF!</definedName>
    <definedName name="BEx5HE4XRF9BUY04MENWY9CHHN5H" hidden="1">#REF!</definedName>
    <definedName name="BEx5HFHMABAT0H9KKS754X4T304E" localSheetId="20" hidden="1">#REF!</definedName>
    <definedName name="BEx5HFHMABAT0H9KKS754X4T304E" hidden="1">#REF!</definedName>
    <definedName name="BEx5HGDZ7MX1S3KNXLRL9WU565V4" localSheetId="20" hidden="1">#REF!</definedName>
    <definedName name="BEx5HGDZ7MX1S3KNXLRL9WU565V4" hidden="1">#REF!</definedName>
    <definedName name="BEx5HJ8DU0ZDRX2BY3TDR7LG7FYG" localSheetId="20" hidden="1">#REF!</definedName>
    <definedName name="BEx5HJ8DU0ZDRX2BY3TDR7LG7FYG" hidden="1">#REF!</definedName>
    <definedName name="BEx5HJZ9FAVNZSSBTAYRPZDYM9NU" localSheetId="20" hidden="1">#REF!</definedName>
    <definedName name="BEx5HJZ9FAVNZSSBTAYRPZDYM9NU" hidden="1">#REF!</definedName>
    <definedName name="BEx5HMDKAGHEFJ193YZUKU547LDS" localSheetId="20" hidden="1">#REF!</definedName>
    <definedName name="BEx5HMDKAGHEFJ193YZUKU547LDS" hidden="1">#REF!</definedName>
    <definedName name="BEx5HZ9JMKHNLFWLVUB1WP5B39BL" localSheetId="20" hidden="1">#REF!</definedName>
    <definedName name="BEx5HZ9JMKHNLFWLVUB1WP5B39BL" hidden="1">#REF!</definedName>
    <definedName name="BEx5I1D22RX2VD9NZESVVM6JZ8G5" localSheetId="20" hidden="1">#REF!</definedName>
    <definedName name="BEx5I1D22RX2VD9NZESVVM6JZ8G5" hidden="1">#REF!</definedName>
    <definedName name="BEx5I244LQHZTF3XI66J8705R9XX" localSheetId="20" hidden="1">#REF!</definedName>
    <definedName name="BEx5I244LQHZTF3XI66J8705R9XX" hidden="1">#REF!</definedName>
    <definedName name="BEx5I5K5UOAJ82FDJ4HULUM3KX7E" localSheetId="20" hidden="1">#REF!</definedName>
    <definedName name="BEx5I5K5UOAJ82FDJ4HULUM3KX7E" hidden="1">#REF!</definedName>
    <definedName name="BEx5I8PBP4LIXDGID5BP0THLO0AQ" localSheetId="20" hidden="1">#REF!</definedName>
    <definedName name="BEx5I8PBP4LIXDGID5BP0THLO0AQ" hidden="1">#REF!</definedName>
    <definedName name="BEx5I8USVUB3JP4S9OXGMZVMOQXR" localSheetId="20" hidden="1">#REF!</definedName>
    <definedName name="BEx5I8USVUB3JP4S9OXGMZVMOQXR" hidden="1">#REF!</definedName>
    <definedName name="BEx5I9GDQSYIAL65UQNDMNFQCS9Y" localSheetId="20" hidden="1">#REF!</definedName>
    <definedName name="BEx5I9GDQSYIAL65UQNDMNFQCS9Y" hidden="1">#REF!</definedName>
    <definedName name="BEx5IBUPG9AWNW5PK7JGRGEJ4OLM" localSheetId="20" hidden="1">#REF!</definedName>
    <definedName name="BEx5IBUPG9AWNW5PK7JGRGEJ4OLM" hidden="1">#REF!</definedName>
    <definedName name="BEx5IC06RVN8BSAEPREVKHKLCJ2L" localSheetId="20" hidden="1">#REF!</definedName>
    <definedName name="BEx5IC06RVN8BSAEPREVKHKLCJ2L" hidden="1">#REF!</definedName>
    <definedName name="BEx5IMN4F143KVYVDFOQYZVJG5X6" localSheetId="20" hidden="1">#REF!</definedName>
    <definedName name="BEx5IMN4F143KVYVDFOQYZVJG5X6" hidden="1">#REF!</definedName>
    <definedName name="BEx5ITU42638OWOBF2BOWE37XFP9" localSheetId="20" hidden="1">#REF!</definedName>
    <definedName name="BEx5ITU42638OWOBF2BOWE37XFP9" hidden="1">#REF!</definedName>
    <definedName name="BEx5J0FFP1KS4NGY20AEJI8VREEA" localSheetId="20" hidden="1">#REF!</definedName>
    <definedName name="BEx5J0FFP1KS4NGY20AEJI8VREEA" hidden="1">#REF!</definedName>
    <definedName name="BEx5JF3ZXLDIS8VNKDCY7ZI7H1CI" localSheetId="20" hidden="1">#REF!</definedName>
    <definedName name="BEx5JF3ZXLDIS8VNKDCY7ZI7H1CI" hidden="1">#REF!</definedName>
    <definedName name="BEx5JHCZJ8G6OOOW6EF3GABXKH6F" localSheetId="20" hidden="1">#REF!</definedName>
    <definedName name="BEx5JHCZJ8G6OOOW6EF3GABXKH6F" hidden="1">#REF!</definedName>
    <definedName name="BEx5JJB6W446THXQCRUKD3I7RKLP" localSheetId="20" hidden="1">#REF!</definedName>
    <definedName name="BEx5JJB6W446THXQCRUKD3I7RKLP" hidden="1">#REF!</definedName>
    <definedName name="BEx5JJWTMI37U3RDEJOYLO93RJ6Z" localSheetId="20" hidden="1">#REF!</definedName>
    <definedName name="BEx5JJWTMI37U3RDEJOYLO93RJ6Z" hidden="1">#REF!</definedName>
    <definedName name="BEx5JNCT8Z7XSSPD5EMNAJELCU2V" localSheetId="20" hidden="1">#REF!</definedName>
    <definedName name="BEx5JNCT8Z7XSSPD5EMNAJELCU2V" hidden="1">#REF!</definedName>
    <definedName name="BEx5JQCNT9Y4RM306CHC8IPY3HBZ" localSheetId="20" hidden="1">#REF!</definedName>
    <definedName name="BEx5JQCNT9Y4RM306CHC8IPY3HBZ" hidden="1">#REF!</definedName>
    <definedName name="BEx5K08PYKE6JOKBYIB006TX619P" localSheetId="20" hidden="1">#REF!</definedName>
    <definedName name="BEx5K08PYKE6JOKBYIB006TX619P" hidden="1">#REF!</definedName>
    <definedName name="BEx5K51DSERT1TR7B4A29R41W4NX" localSheetId="20" hidden="1">#REF!</definedName>
    <definedName name="BEx5K51DSERT1TR7B4A29R41W4NX" hidden="1">#REF!</definedName>
    <definedName name="BEx5KF88OT7666J799PZCTHRBOPU" localSheetId="20" hidden="1">#REF!</definedName>
    <definedName name="BEx5KF88OT7666J799PZCTHRBOPU" hidden="1">#REF!</definedName>
    <definedName name="BEx5KMVAY7UVXRQY7NI5EZYMNGC7" localSheetId="20" hidden="1">#REF!</definedName>
    <definedName name="BEx5KMVAY7UVXRQY7NI5EZYMNGC7" hidden="1">#REF!</definedName>
    <definedName name="BEx5KYER580I4T7WTLMUN7NLNP5K" localSheetId="20" hidden="1">#REF!</definedName>
    <definedName name="BEx5KYER580I4T7WTLMUN7NLNP5K" hidden="1">#REF!</definedName>
    <definedName name="BEx5LHLB3M6K4ZKY2F42QBZT30ZH" localSheetId="20" hidden="1">#REF!</definedName>
    <definedName name="BEx5LHLB3M6K4ZKY2F42QBZT30ZH" hidden="1">#REF!</definedName>
    <definedName name="BEx5LRMNU3HXIE1BUMDHRU31F7JJ" localSheetId="20" hidden="1">#REF!</definedName>
    <definedName name="BEx5LRMNU3HXIE1BUMDHRU31F7JJ" hidden="1">#REF!</definedName>
    <definedName name="BEx5LSJ1LPUAX3ENSPECWPG4J7D1" localSheetId="20" hidden="1">#REF!</definedName>
    <definedName name="BEx5LSJ1LPUAX3ENSPECWPG4J7D1" hidden="1">#REF!</definedName>
    <definedName name="BEx5LTKQ8RQWJE4BC88OP928893U" localSheetId="20" hidden="1">#REF!</definedName>
    <definedName name="BEx5LTKQ8RQWJE4BC88OP928893U" hidden="1">#REF!</definedName>
    <definedName name="BEx5LZ9QXSWRX35EGBF4FB303PNE" localSheetId="20" hidden="1">#REF!</definedName>
    <definedName name="BEx5LZ9QXSWRX35EGBF4FB303PNE" hidden="1">#REF!</definedName>
    <definedName name="BEx5MB9BR71LZDG7XXQ2EO58JC5F" localSheetId="20" hidden="1">#REF!</definedName>
    <definedName name="BEx5MB9BR71LZDG7XXQ2EO58JC5F" hidden="1">#REF!</definedName>
    <definedName name="BEx5MLQZM68YQSKARVWTTPINFQ2C" localSheetId="20" hidden="1">[39]Table!#REF!</definedName>
    <definedName name="BEx5MLQZM68YQSKARVWTTPINFQ2C" hidden="1">[39]Table!#REF!</definedName>
    <definedName name="BEx5MVXTKNBXHNWTL43C670E4KXC" localSheetId="15" hidden="1">#REF!</definedName>
    <definedName name="BEx5MVXTKNBXHNWTL43C670E4KXC" localSheetId="16" hidden="1">#REF!</definedName>
    <definedName name="BEx5MVXTKNBXHNWTL43C670E4KXC" localSheetId="20" hidden="1">#REF!</definedName>
    <definedName name="BEx5MVXTKNBXHNWTL43C670E4KXC" hidden="1">#REF!</definedName>
    <definedName name="BEx5N4XI4PWB1W9PMZ4O5R0HWTYD" localSheetId="20" hidden="1">#REF!</definedName>
    <definedName name="BEx5N4XI4PWB1W9PMZ4O5R0HWTYD" hidden="1">#REF!</definedName>
    <definedName name="BEx5N8TQPT9Q7AMBG5SNEYKR98Y8" localSheetId="20" hidden="1">#REF!</definedName>
    <definedName name="BEx5N8TQPT9Q7AMBG5SNEYKR98Y8" hidden="1">#REF!</definedName>
    <definedName name="BEx5NA68N6FJFX9UJXK4M14U487F" localSheetId="20" hidden="1">#REF!</definedName>
    <definedName name="BEx5NA68N6FJFX9UJXK4M14U487F" hidden="1">#REF!</definedName>
    <definedName name="BEx5ND64XZTLSC6HF2CJ3WYIIH2F" localSheetId="20" hidden="1">#REF!</definedName>
    <definedName name="BEx5ND64XZTLSC6HF2CJ3WYIIH2F" hidden="1">#REF!</definedName>
    <definedName name="BEx5NHTGLW35S2ITT7VPUKDNZRF7" localSheetId="20" hidden="1">#REF!</definedName>
    <definedName name="BEx5NHTGLW35S2ITT7VPUKDNZRF7" hidden="1">#REF!</definedName>
    <definedName name="BEx5NIKBG2GDJOYGE3WCXKU7YY51" localSheetId="20" hidden="1">#REF!</definedName>
    <definedName name="BEx5NIKBG2GDJOYGE3WCXKU7YY51" hidden="1">#REF!</definedName>
    <definedName name="BEx5NV06L5J5IMKGOMGKGJ4PBZCD" localSheetId="20" hidden="1">#REF!</definedName>
    <definedName name="BEx5NV06L5J5IMKGOMGKGJ4PBZCD" hidden="1">#REF!</definedName>
    <definedName name="BEx5NZSSQ6PY99ZX2D7Q9IGOR34W" localSheetId="20" hidden="1">#REF!</definedName>
    <definedName name="BEx5NZSSQ6PY99ZX2D7Q9IGOR34W" hidden="1">#REF!</definedName>
    <definedName name="BEx5O2CHK5IPBZFPSJ15PKMKXH2W" localSheetId="20" hidden="1">#REF!</definedName>
    <definedName name="BEx5O2CHK5IPBZFPSJ15PKMKXH2W" hidden="1">#REF!</definedName>
    <definedName name="BEx5O3ZUQ2OARA1CDOZ3NC4UE5AA" localSheetId="20" hidden="1">#REF!</definedName>
    <definedName name="BEx5O3ZUQ2OARA1CDOZ3NC4UE5AA" hidden="1">#REF!</definedName>
    <definedName name="BEx5OAFS0NJ2CB86A02E1JYHMLQ1" localSheetId="20" hidden="1">#REF!</definedName>
    <definedName name="BEx5OAFS0NJ2CB86A02E1JYHMLQ1" hidden="1">#REF!</definedName>
    <definedName name="BEx5OFDQH6J3G0YOE5U93X2QN95E" localSheetId="20" hidden="1">#REF!</definedName>
    <definedName name="BEx5OFDQH6J3G0YOE5U93X2QN95E" hidden="1">#REF!</definedName>
    <definedName name="BEx5OG4RPU8W1ETWDWM234NYYYEN" localSheetId="20" hidden="1">#REF!</definedName>
    <definedName name="BEx5OG4RPU8W1ETWDWM234NYYYEN" hidden="1">#REF!</definedName>
    <definedName name="BEx5OP9Y43F99O2IT69MKCCXGL61" localSheetId="20" hidden="1">#REF!</definedName>
    <definedName name="BEx5OP9Y43F99O2IT69MKCCXGL61" hidden="1">#REF!</definedName>
    <definedName name="BEx5ORDB6IPFBL15XLQCRC6PS01K" localSheetId="20" hidden="1">#REF!</definedName>
    <definedName name="BEx5ORDB6IPFBL15XLQCRC6PS01K" hidden="1">#REF!</definedName>
    <definedName name="BEx5P3243YD55WK9A04WKXBOHZ9F" localSheetId="20" hidden="1">'[38]10.08.5 - 2008 Capital - TDBU'!#REF!</definedName>
    <definedName name="BEx5P3243YD55WK9A04WKXBOHZ9F" hidden="1">'[38]10.08.5 - 2008 Capital - TDBU'!#REF!</definedName>
    <definedName name="BEx5P9Y9RDXNUAJ6CZ2LHMM8IM7T" localSheetId="15" hidden="1">#REF!</definedName>
    <definedName name="BEx5P9Y9RDXNUAJ6CZ2LHMM8IM7T" localSheetId="16" hidden="1">#REF!</definedName>
    <definedName name="BEx5P9Y9RDXNUAJ6CZ2LHMM8IM7T" localSheetId="20" hidden="1">#REF!</definedName>
    <definedName name="BEx5P9Y9RDXNUAJ6CZ2LHMM8IM7T" hidden="1">#REF!</definedName>
    <definedName name="BEx5PF76KPATYJ4N41VA1D7CDWY4" localSheetId="20" hidden="1">#REF!</definedName>
    <definedName name="BEx5PF76KPATYJ4N41VA1D7CDWY4" hidden="1">#REF!</definedName>
    <definedName name="BEx5PHWB2C0D5QLP3BZIP3UO7DIZ" localSheetId="20" hidden="1">#REF!</definedName>
    <definedName name="BEx5PHWB2C0D5QLP3BZIP3UO7DIZ" hidden="1">#REF!</definedName>
    <definedName name="BEx5PJP02W68K2E46L5C5YBSNU6T" localSheetId="20" hidden="1">#REF!</definedName>
    <definedName name="BEx5PJP02W68K2E46L5C5YBSNU6T" hidden="1">#REF!</definedName>
    <definedName name="BEx5PLCA8DOMAU315YCS5275L2HS" localSheetId="20" hidden="1">#REF!</definedName>
    <definedName name="BEx5PLCA8DOMAU315YCS5275L2HS" hidden="1">#REF!</definedName>
    <definedName name="BEx5PRXMZ5M65Z732WNNGV564C2J" localSheetId="20" hidden="1">#REF!</definedName>
    <definedName name="BEx5PRXMZ5M65Z732WNNGV564C2J" hidden="1">#REF!</definedName>
    <definedName name="BEx5QPSW4IPLH50WSR87HRER05RF" localSheetId="20" hidden="1">#REF!</definedName>
    <definedName name="BEx5QPSW4IPLH50WSR87HRER05RF" hidden="1">#REF!</definedName>
    <definedName name="BEx73V0EP8EMNRC3EZJJKKVKWQVB" localSheetId="20" hidden="1">#REF!</definedName>
    <definedName name="BEx73V0EP8EMNRC3EZJJKKVKWQVB" hidden="1">#REF!</definedName>
    <definedName name="BEx741WJHIJVXUX131SBXTVW8D71" localSheetId="20" hidden="1">#REF!</definedName>
    <definedName name="BEx741WJHIJVXUX131SBXTVW8D71" hidden="1">#REF!</definedName>
    <definedName name="BEx74ESIB9Y8KGETIERMKU5PLCQR" localSheetId="20" hidden="1">#REF!</definedName>
    <definedName name="BEx74ESIB9Y8KGETIERMKU5PLCQR" hidden="1">#REF!</definedName>
    <definedName name="BEx74Q6H3O7133AWQXWC21MI2UFT" localSheetId="20" hidden="1">#REF!</definedName>
    <definedName name="BEx74Q6H3O7133AWQXWC21MI2UFT" hidden="1">#REF!</definedName>
    <definedName name="BEx74SVN624OKKQLMBVAPE9KAL13" localSheetId="20" hidden="1">#REF!</definedName>
    <definedName name="BEx74SVN624OKKQLMBVAPE9KAL13" hidden="1">#REF!</definedName>
    <definedName name="BEx74W6BJ8ENO3J25WNM5H5APKA3" localSheetId="20" hidden="1">#REF!</definedName>
    <definedName name="BEx74W6BJ8ENO3J25WNM5H5APKA3" hidden="1">#REF!</definedName>
    <definedName name="BEx7532GP65LPFYWT7B0NMQMFZNV" localSheetId="20" hidden="1">#REF!</definedName>
    <definedName name="BEx7532GP65LPFYWT7B0NMQMFZNV" hidden="1">#REF!</definedName>
    <definedName name="BEx755GRRD9BL27YHLH5QWIYLWB7" localSheetId="20" hidden="1">#REF!</definedName>
    <definedName name="BEx755GRRD9BL27YHLH5QWIYLWB7" hidden="1">#REF!</definedName>
    <definedName name="BEx7579IFVUAVJ784K1JNXQW1Z9I" localSheetId="20" hidden="1">#REF!</definedName>
    <definedName name="BEx7579IFVUAVJ784K1JNXQW1Z9I" hidden="1">#REF!</definedName>
    <definedName name="BEx759D1D5SXS5ELLZVBI0SXYUNF" localSheetId="20" hidden="1">#REF!</definedName>
    <definedName name="BEx759D1D5SXS5ELLZVBI0SXYUNF" hidden="1">#REF!</definedName>
    <definedName name="BEx75GJZSZHUDN6OOAGQYFUDA2LP" localSheetId="20" hidden="1">#REF!</definedName>
    <definedName name="BEx75GJZSZHUDN6OOAGQYFUDA2LP" hidden="1">#REF!</definedName>
    <definedName name="BEx75HGCCV5K4UCJWYV8EV9AG5YT" localSheetId="20" hidden="1">#REF!</definedName>
    <definedName name="BEx75HGCCV5K4UCJWYV8EV9AG5YT" hidden="1">#REF!</definedName>
    <definedName name="BEx75OHUDAC9RZDLL9L4I1L7VQ21" localSheetId="20" hidden="1">'[38]10.08.4 -2008 Capital'!#REF!</definedName>
    <definedName name="BEx75OHUDAC9RZDLL9L4I1L7VQ21" hidden="1">'[38]10.08.4 -2008 Capital'!#REF!</definedName>
    <definedName name="BEx75PZT8TY5P13U978NVBUXKHT4" localSheetId="15" hidden="1">#REF!</definedName>
    <definedName name="BEx75PZT8TY5P13U978NVBUXKHT4" localSheetId="16" hidden="1">#REF!</definedName>
    <definedName name="BEx75PZT8TY5P13U978NVBUXKHT4" localSheetId="20" hidden="1">#REF!</definedName>
    <definedName name="BEx75PZT8TY5P13U978NVBUXKHT4" hidden="1">#REF!</definedName>
    <definedName name="BEx75T55F7GML8V1DMWL26WRT006" localSheetId="20" hidden="1">#REF!</definedName>
    <definedName name="BEx75T55F7GML8V1DMWL26WRT006" hidden="1">#REF!</definedName>
    <definedName name="BEx75VJGR07JY6UUWURQ4PJ29UKC" localSheetId="20" hidden="1">#REF!</definedName>
    <definedName name="BEx75VJGR07JY6UUWURQ4PJ29UKC" hidden="1">#REF!</definedName>
    <definedName name="BEx7696C3JFS7JTBL4CH2YB4GLHQ" localSheetId="20" hidden="1">#REF!</definedName>
    <definedName name="BEx7696C3JFS7JTBL4CH2YB4GLHQ" hidden="1">#REF!</definedName>
    <definedName name="BEx76F0MJW2PS2LZH14RJZO14ARD" localSheetId="20" hidden="1">'[38]10.08.5 - 2008 Capital - TDBU'!#REF!</definedName>
    <definedName name="BEx76F0MJW2PS2LZH14RJZO14ARD" hidden="1">'[38]10.08.5 - 2008 Capital - TDBU'!#REF!</definedName>
    <definedName name="BEx7741OUGLA0WJQLQRUJSL4DE00" localSheetId="15" hidden="1">#REF!</definedName>
    <definedName name="BEx7741OUGLA0WJQLQRUJSL4DE00" localSheetId="16" hidden="1">#REF!</definedName>
    <definedName name="BEx7741OUGLA0WJQLQRUJSL4DE00" localSheetId="20" hidden="1">#REF!</definedName>
    <definedName name="BEx7741OUGLA0WJQLQRUJSL4DE00" hidden="1">#REF!</definedName>
    <definedName name="BEx774N83DXLJZ54Q42PWIJZ2DN1" localSheetId="20" hidden="1">#REF!</definedName>
    <definedName name="BEx774N83DXLJZ54Q42PWIJZ2DN1" hidden="1">#REF!</definedName>
    <definedName name="BEx779QNIY3061ZV9BR462WKEGRW" localSheetId="20" hidden="1">#REF!</definedName>
    <definedName name="BEx779QNIY3061ZV9BR462WKEGRW" hidden="1">#REF!</definedName>
    <definedName name="BEx77G19QU9A95CNHE6QMVSQR2T3" localSheetId="20" hidden="1">#REF!</definedName>
    <definedName name="BEx77G19QU9A95CNHE6QMVSQR2T3" hidden="1">#REF!</definedName>
    <definedName name="BEx77NIZM6XEWOV6EXQU2UG5MSUR" localSheetId="20" hidden="1">'[38]10.08.5 - 2008 Capital - TDBU'!#REF!</definedName>
    <definedName name="BEx77NIZM6XEWOV6EXQU2UG5MSUR" hidden="1">'[38]10.08.5 - 2008 Capital - TDBU'!#REF!</definedName>
    <definedName name="BEx77P0S3GVMS7BJUL9OWUGJ1B02" localSheetId="15" hidden="1">#REF!</definedName>
    <definedName name="BEx77P0S3GVMS7BJUL9OWUGJ1B02" localSheetId="16" hidden="1">#REF!</definedName>
    <definedName name="BEx77P0S3GVMS7BJUL9OWUGJ1B02" localSheetId="20" hidden="1">#REF!</definedName>
    <definedName name="BEx77P0S3GVMS7BJUL9OWUGJ1B02" hidden="1">#REF!</definedName>
    <definedName name="BEx77P69SYJJ2S37W7MAD4IWKUO4" localSheetId="20" hidden="1">#REF!</definedName>
    <definedName name="BEx77P69SYJJ2S37W7MAD4IWKUO4" hidden="1">#REF!</definedName>
    <definedName name="BEx77QDESURI6WW5582YXSK3A972" localSheetId="20" hidden="1">#REF!</definedName>
    <definedName name="BEx77QDESURI6WW5582YXSK3A972" hidden="1">#REF!</definedName>
    <definedName name="BEx77U9O8O8ZI1JB5ZFCC25C06DJ" localSheetId="20" hidden="1">#REF!</definedName>
    <definedName name="BEx77U9O8O8ZI1JB5ZFCC25C06DJ" hidden="1">#REF!</definedName>
    <definedName name="BEx77VBI9XOPFHKEWU5EHQ9J675Y" localSheetId="20" hidden="1">#REF!</definedName>
    <definedName name="BEx77VBI9XOPFHKEWU5EHQ9J675Y" hidden="1">#REF!</definedName>
    <definedName name="BEx7809GQOCLHSNH95VOYIX7P1TV" localSheetId="20" hidden="1">#REF!</definedName>
    <definedName name="BEx7809GQOCLHSNH95VOYIX7P1TV" hidden="1">#REF!</definedName>
    <definedName name="BEx780K8XAXUHGVZGZWQ74DK4CI3" localSheetId="20" hidden="1">#REF!</definedName>
    <definedName name="BEx780K8XAXUHGVZGZWQ74DK4CI3" hidden="1">#REF!</definedName>
    <definedName name="BEx78226TN58UE0CTY98YEDU0LSL" localSheetId="20" hidden="1">#REF!</definedName>
    <definedName name="BEx78226TN58UE0CTY98YEDU0LSL" hidden="1">#REF!</definedName>
    <definedName name="BEx787GF57Y7X323F3OTRWSGH7HZ" localSheetId="20" hidden="1">#REF!</definedName>
    <definedName name="BEx787GF57Y7X323F3OTRWSGH7HZ" hidden="1">#REF!</definedName>
    <definedName name="BEx7881ZZBWHRAX6W2GY19J8MGEQ" localSheetId="20" hidden="1">#REF!</definedName>
    <definedName name="BEx7881ZZBWHRAX6W2GY19J8MGEQ" hidden="1">#REF!</definedName>
    <definedName name="BEx78HHRIWDLHQX2LG0HWFRYEL1T" localSheetId="20" hidden="1">#REF!</definedName>
    <definedName name="BEx78HHRIWDLHQX2LG0HWFRYEL1T" hidden="1">#REF!</definedName>
    <definedName name="BEx78LE2GHJ4PVWT3ULLA2J3TY1V" localSheetId="20" hidden="1">#REF!</definedName>
    <definedName name="BEx78LE2GHJ4PVWT3ULLA2J3TY1V" hidden="1">#REF!</definedName>
    <definedName name="BEx78QMXZ2P1ZB3HJ9O50DWHCMXR" localSheetId="20" hidden="1">#REF!</definedName>
    <definedName name="BEx78QMXZ2P1ZB3HJ9O50DWHCMXR" hidden="1">#REF!</definedName>
    <definedName name="BEx78SFO5VR28677DWZEMDN7G86X" localSheetId="20" hidden="1">#REF!</definedName>
    <definedName name="BEx78SFO5VR28677DWZEMDN7G86X" hidden="1">#REF!</definedName>
    <definedName name="BEx78SFOYH1Z0ZDTO47W2M60TW6K" localSheetId="20" hidden="1">#REF!</definedName>
    <definedName name="BEx78SFOYH1Z0ZDTO47W2M60TW6K" hidden="1">#REF!</definedName>
    <definedName name="BEx79APUP133FLMIO8AZJFIIYD1L" localSheetId="20" hidden="1">#REF!</definedName>
    <definedName name="BEx79APUP133FLMIO8AZJFIIYD1L" hidden="1">#REF!</definedName>
    <definedName name="BEx79JK3E6JO8MX4O35A5G8NZCC8" localSheetId="20" hidden="1">#REF!</definedName>
    <definedName name="BEx79JK3E6JO8MX4O35A5G8NZCC8" hidden="1">#REF!</definedName>
    <definedName name="BEx79OCP4HQ6XP8EWNGEUDLOZBBS" localSheetId="20" hidden="1">#REF!</definedName>
    <definedName name="BEx79OCP4HQ6XP8EWNGEUDLOZBBS" hidden="1">#REF!</definedName>
    <definedName name="BEx79SEAYKUZB0H4LYBCD6WWJBG2" localSheetId="20" hidden="1">#REF!</definedName>
    <definedName name="BEx79SEAYKUZB0H4LYBCD6WWJBG2" hidden="1">#REF!</definedName>
    <definedName name="BEx79SJRHTLS9PYM69O9BWW1FMJK" localSheetId="20" hidden="1">#REF!</definedName>
    <definedName name="BEx79SJRHTLS9PYM69O9BWW1FMJK" hidden="1">#REF!</definedName>
    <definedName name="BEx79YJJLBELICW9F9FRYSCQ101L" localSheetId="20" hidden="1">#REF!</definedName>
    <definedName name="BEx79YJJLBELICW9F9FRYSCQ101L" hidden="1">#REF!</definedName>
    <definedName name="BEx79YUC7B0V77FSBGIRCY1BR4VK" localSheetId="20" hidden="1">#REF!</definedName>
    <definedName name="BEx79YUC7B0V77FSBGIRCY1BR4VK" hidden="1">#REF!</definedName>
    <definedName name="BEx7A06T3RC2891FUX05G3QPRAUE" localSheetId="20" hidden="1">#REF!</definedName>
    <definedName name="BEx7A06T3RC2891FUX05G3QPRAUE" hidden="1">#REF!</definedName>
    <definedName name="BEx7A18OPKC61FNESSBTAXMF8AW7" localSheetId="20" hidden="1">#REF!</definedName>
    <definedName name="BEx7A18OPKC61FNESSBTAXMF8AW7" hidden="1">#REF!</definedName>
    <definedName name="BEx7A1DZ3ACKTQDO9ELXW44GL8Y2" localSheetId="20" hidden="1">'[38]10.08.4 -2008 Capital'!#REF!</definedName>
    <definedName name="BEx7A1DZ3ACKTQDO9ELXW44GL8Y2" hidden="1">'[38]10.08.4 -2008 Capital'!#REF!</definedName>
    <definedName name="BEx7A7DRZSSF2EG6JQH27X93U90I" localSheetId="15" hidden="1">#REF!</definedName>
    <definedName name="BEx7A7DRZSSF2EG6JQH27X93U90I" localSheetId="16" hidden="1">#REF!</definedName>
    <definedName name="BEx7A7DRZSSF2EG6JQH27X93U90I" localSheetId="20" hidden="1">#REF!</definedName>
    <definedName name="BEx7A7DRZSSF2EG6JQH27X93U90I" hidden="1">#REF!</definedName>
    <definedName name="BEx7A9S3JA1X7FH4CFSQLTZC4691" localSheetId="20" hidden="1">#REF!</definedName>
    <definedName name="BEx7A9S3JA1X7FH4CFSQLTZC4691" hidden="1">#REF!</definedName>
    <definedName name="BEx7ABA2C9IWH5VSLVLLLCY62161" localSheetId="20" hidden="1">#REF!</definedName>
    <definedName name="BEx7ABA2C9IWH5VSLVLLLCY62161" hidden="1">#REF!</definedName>
    <definedName name="BEx7AE4LPLX8N85BYB0WCO5S7ZPV" localSheetId="20" hidden="1">#REF!</definedName>
    <definedName name="BEx7AE4LPLX8N85BYB0WCO5S7ZPV" hidden="1">#REF!</definedName>
    <definedName name="BEx7AJ81S7N0ZOX5HWUXTT04D8KK" localSheetId="20" hidden="1">'[38]10.08.5 - 2008 Capital - TDBU'!#REF!</definedName>
    <definedName name="BEx7AJ81S7N0ZOX5HWUXTT04D8KK" hidden="1">'[38]10.08.5 - 2008 Capital - TDBU'!#REF!</definedName>
    <definedName name="BEx7AQKAXA50BVHLEWZFVHEFM6BR" localSheetId="15" hidden="1">#REF!</definedName>
    <definedName name="BEx7AQKAXA50BVHLEWZFVHEFM6BR" localSheetId="16" hidden="1">#REF!</definedName>
    <definedName name="BEx7AQKAXA50BVHLEWZFVHEFM6BR" localSheetId="20" hidden="1">#REF!</definedName>
    <definedName name="BEx7AQKAXA50BVHLEWZFVHEFM6BR" hidden="1">#REF!</definedName>
    <definedName name="BEx7ASD1I654MEDCO6GGWA95PXSC" localSheetId="20" hidden="1">#REF!</definedName>
    <definedName name="BEx7ASD1I654MEDCO6GGWA95PXSC" hidden="1">#REF!</definedName>
    <definedName name="BEx7AVCX9S5RJP3NSZ4QM4E6ERDT" localSheetId="20" hidden="1">#REF!</definedName>
    <definedName name="BEx7AVCX9S5RJP3NSZ4QM4E6ERDT" hidden="1">#REF!</definedName>
    <definedName name="BEx7AVT704ZMAOMB9JGPZ6LXHSQG" localSheetId="20" hidden="1">#REF!</definedName>
    <definedName name="BEx7AVT704ZMAOMB9JGPZ6LXHSQG" hidden="1">#REF!</definedName>
    <definedName name="BEx7AVYIGP0930MV5JEBWRYCJN68" localSheetId="20" hidden="1">#REF!</definedName>
    <definedName name="BEx7AVYIGP0930MV5JEBWRYCJN68" hidden="1">#REF!</definedName>
    <definedName name="BEx7B6LH6917TXOSAAQ6U7HVF018" localSheetId="20" hidden="1">#REF!</definedName>
    <definedName name="BEx7B6LH6917TXOSAAQ6U7HVF018" hidden="1">#REF!</definedName>
    <definedName name="BEx7BPXFZXJ79FQ0E8AQE21PGVHA" localSheetId="20" hidden="1">#REF!</definedName>
    <definedName name="BEx7BPXFZXJ79FQ0E8AQE21PGVHA" hidden="1">#REF!</definedName>
    <definedName name="BEx7C04AM39DQMC1TIX7CFZ2ADHX" localSheetId="20" hidden="1">#REF!</definedName>
    <definedName name="BEx7C04AM39DQMC1TIX7CFZ2ADHX" hidden="1">#REF!</definedName>
    <definedName name="BEx7C1RKPVBM823KIGN85C8NOGLB" localSheetId="20" hidden="1">#REF!</definedName>
    <definedName name="BEx7C1RKPVBM823KIGN85C8NOGLB" hidden="1">#REF!</definedName>
    <definedName name="BEx7C40F0PQURHPI6YQ39NFIR86Z" localSheetId="20" hidden="1">#REF!</definedName>
    <definedName name="BEx7C40F0PQURHPI6YQ39NFIR86Z" hidden="1">#REF!</definedName>
    <definedName name="BEx7C93VR7SYRIJS1JO8YZKSFAW9" localSheetId="20" hidden="1">#REF!</definedName>
    <definedName name="BEx7C93VR7SYRIJS1JO8YZKSFAW9" hidden="1">#REF!</definedName>
    <definedName name="BEx7CCPC6R1KQQZ2JQU6EFI1G0RM" localSheetId="20" hidden="1">#REF!</definedName>
    <definedName name="BEx7CCPC6R1KQQZ2JQU6EFI1G0RM" hidden="1">#REF!</definedName>
    <definedName name="BEx7CDAXF5MHW62MV0JHIEM92MPI" localSheetId="20" hidden="1">#REF!</definedName>
    <definedName name="BEx7CDAXF5MHW62MV0JHIEM92MPI" hidden="1">#REF!</definedName>
    <definedName name="BEx7CIJST9GLS2QD383UK7VUDTGL" localSheetId="20" hidden="1">#REF!</definedName>
    <definedName name="BEx7CIJST9GLS2QD383UK7VUDTGL" hidden="1">#REF!</definedName>
    <definedName name="BEx7CN1OPV8F04BRSJJSWFTXJAD5" localSheetId="20" hidden="1">#REF!</definedName>
    <definedName name="BEx7CN1OPV8F04BRSJJSWFTXJAD5" hidden="1">#REF!</definedName>
    <definedName name="BEx7CO8T2XKC7GHDSYNAWTZ9L7YR" localSheetId="20" hidden="1">#REF!</definedName>
    <definedName name="BEx7CO8T2XKC7GHDSYNAWTZ9L7YR" hidden="1">#REF!</definedName>
    <definedName name="BEx7CW1CF00DO8A36UNC2X7K65C2" localSheetId="20" hidden="1">#REF!</definedName>
    <definedName name="BEx7CW1CF00DO8A36UNC2X7K65C2" hidden="1">#REF!</definedName>
    <definedName name="BEx7CW6NFRL2P4XWP0MWHIYA97KF" localSheetId="20" hidden="1">#REF!</definedName>
    <definedName name="BEx7CW6NFRL2P4XWP0MWHIYA97KF" hidden="1">#REF!</definedName>
    <definedName name="BEx7D5RWKRS4W71J4NZ6ZSFHPKFT" localSheetId="20" hidden="1">#REF!</definedName>
    <definedName name="BEx7D5RWKRS4W71J4NZ6ZSFHPKFT" hidden="1">#REF!</definedName>
    <definedName name="BEx7D8H1TPOX1UN17QZYEV7Q58GA" localSheetId="20" hidden="1">#REF!</definedName>
    <definedName name="BEx7D8H1TPOX1UN17QZYEV7Q58GA" hidden="1">#REF!</definedName>
    <definedName name="BEx7DGF13H2074LRWFZQ45PZ6JPX" localSheetId="20" hidden="1">#REF!</definedName>
    <definedName name="BEx7DGF13H2074LRWFZQ45PZ6JPX" hidden="1">#REF!</definedName>
    <definedName name="BEx7DKWUXEDIISSX4GDD4YYT887F" localSheetId="20" hidden="1">#REF!</definedName>
    <definedName name="BEx7DKWUXEDIISSX4GDD4YYT887F" hidden="1">#REF!</definedName>
    <definedName name="BEx7DMUYR2HC26WW7AOB1TULERMB" localSheetId="20" hidden="1">#REF!</definedName>
    <definedName name="BEx7DMUYR2HC26WW7AOB1TULERMB" hidden="1">#REF!</definedName>
    <definedName name="BEx7DVJTRV44IMJIBFXELE67SZ7S" localSheetId="20" hidden="1">#REF!</definedName>
    <definedName name="BEx7DVJTRV44IMJIBFXELE67SZ7S" hidden="1">#REF!</definedName>
    <definedName name="BEx7DVUMFCI5INHMVFIJ44RTTSTT" localSheetId="20" hidden="1">#REF!</definedName>
    <definedName name="BEx7DVUMFCI5INHMVFIJ44RTTSTT" hidden="1">#REF!</definedName>
    <definedName name="BEx7E2QSW841R32GCRO0M9X6GW5L" localSheetId="20" hidden="1">#REF!</definedName>
    <definedName name="BEx7E2QSW841R32GCRO0M9X6GW5L" hidden="1">#REF!</definedName>
    <definedName name="BEx7E2QT2U8THYOKBPXONB1B47WH" localSheetId="20" hidden="1">#REF!</definedName>
    <definedName name="BEx7E2QT2U8THYOKBPXONB1B47WH" hidden="1">#REF!</definedName>
    <definedName name="BEx7E5QP7W6UKO74F5Y0VJ741HS5" localSheetId="20" hidden="1">#REF!</definedName>
    <definedName name="BEx7E5QP7W6UKO74F5Y0VJ741HS5" hidden="1">#REF!</definedName>
    <definedName name="BEx7E6N29HGH3I47AFB2DCS6MVS6" localSheetId="20" hidden="1">#REF!</definedName>
    <definedName name="BEx7E6N29HGH3I47AFB2DCS6MVS6" hidden="1">#REF!</definedName>
    <definedName name="BEx7EBA8IYHQKT7IQAOAML660SYA" localSheetId="20" hidden="1">#REF!</definedName>
    <definedName name="BEx7EBA8IYHQKT7IQAOAML660SYA" hidden="1">#REF!</definedName>
    <definedName name="BEx7EI6C8MCRZFEQYUBE5FSUTIHK" localSheetId="20" hidden="1">#REF!</definedName>
    <definedName name="BEx7EI6C8MCRZFEQYUBE5FSUTIHK" hidden="1">#REF!</definedName>
    <definedName name="BEx7EI6DL1Z6UWLFBXAKVGZTKHWJ" localSheetId="20" hidden="1">#REF!</definedName>
    <definedName name="BEx7EI6DL1Z6UWLFBXAKVGZTKHWJ" hidden="1">#REF!</definedName>
    <definedName name="BEx7EQKHX7GZYOLXRDU534TT4H64" localSheetId="20" hidden="1">#REF!</definedName>
    <definedName name="BEx7EQKHX7GZYOLXRDU534TT4H64" hidden="1">#REF!</definedName>
    <definedName name="BEx7ETV6L1TM7JSXJIGK3FC6RVZW" localSheetId="20" hidden="1">#REF!</definedName>
    <definedName name="BEx7ETV6L1TM7JSXJIGK3FC6RVZW" hidden="1">#REF!</definedName>
    <definedName name="BEx7EV2C287ME9PQ0FIM5QWZ3O9K" localSheetId="20" hidden="1">#REF!</definedName>
    <definedName name="BEx7EV2C287ME9PQ0FIM5QWZ3O9K" hidden="1">#REF!</definedName>
    <definedName name="BEx7EWK9GUVV6FXWYIGH0TAI4V2O" localSheetId="20" hidden="1">#REF!</definedName>
    <definedName name="BEx7EWK9GUVV6FXWYIGH0TAI4V2O" hidden="1">#REF!</definedName>
    <definedName name="BEx7EYYLHMBYQTH6I377FCQS7CSX" localSheetId="20" hidden="1">#REF!</definedName>
    <definedName name="BEx7EYYLHMBYQTH6I377FCQS7CSX" hidden="1">#REF!</definedName>
    <definedName name="BEx7F3R8WBC6E9U65SYE1VCBPKTN" localSheetId="20" hidden="1">#REF!</definedName>
    <definedName name="BEx7F3R8WBC6E9U65SYE1VCBPKTN" hidden="1">#REF!</definedName>
    <definedName name="BEx7FCLG1RYI2SNOU1Y2GQZNZSWA" localSheetId="20" hidden="1">#REF!</definedName>
    <definedName name="BEx7FCLG1RYI2SNOU1Y2GQZNZSWA" hidden="1">#REF!</definedName>
    <definedName name="BEx7FN32ZGWOAA4TTH79KINTDWR9" localSheetId="20" hidden="1">#REF!</definedName>
    <definedName name="BEx7FN32ZGWOAA4TTH79KINTDWR9" hidden="1">#REF!</definedName>
    <definedName name="BEx7G0F5491O5LOO00O1AXXAE24R" localSheetId="20" hidden="1">#REF!</definedName>
    <definedName name="BEx7G0F5491O5LOO00O1AXXAE24R" hidden="1">#REF!</definedName>
    <definedName name="BEx7G82CKM3NIY1PHNFK28M09PCH" localSheetId="20" hidden="1">#REF!</definedName>
    <definedName name="BEx7G82CKM3NIY1PHNFK28M09PCH" hidden="1">#REF!</definedName>
    <definedName name="BEx7GR3ENYWRXXS5IT0UMEGOLGUH" localSheetId="20" hidden="1">#REF!</definedName>
    <definedName name="BEx7GR3ENYWRXXS5IT0UMEGOLGUH" hidden="1">#REF!</definedName>
    <definedName name="BEx7GSAL6P7TASL8MB63RFST1LJL" localSheetId="20" hidden="1">#REF!</definedName>
    <definedName name="BEx7GSAL6P7TASL8MB63RFST1LJL" hidden="1">#REF!</definedName>
    <definedName name="BEx7H0JCP7ZU8M0UWQXEBQ8U7WXG" localSheetId="20" hidden="1">#REF!</definedName>
    <definedName name="BEx7H0JCP7ZU8M0UWQXEBQ8U7WXG" hidden="1">#REF!</definedName>
    <definedName name="BEx7H0JD6I5I8WQLLWOYWY5YWPQE" localSheetId="20" hidden="1">#REF!</definedName>
    <definedName name="BEx7H0JD6I5I8WQLLWOYWY5YWPQE" hidden="1">#REF!</definedName>
    <definedName name="BEx7H14XCXH7WEXEY1HVO53A6AGH" localSheetId="20" hidden="1">#REF!</definedName>
    <definedName name="BEx7H14XCXH7WEXEY1HVO53A6AGH" hidden="1">#REF!</definedName>
    <definedName name="BEx7HFTIA8AC8BR8HKIN81VE1SGW" localSheetId="20" hidden="1">#REF!</definedName>
    <definedName name="BEx7HFTIA8AC8BR8HKIN81VE1SGW" hidden="1">#REF!</definedName>
    <definedName name="BEx7HGVBEF4LEIF6RC14N3PSU461" localSheetId="20" hidden="1">#REF!</definedName>
    <definedName name="BEx7HGVBEF4LEIF6RC14N3PSU461" hidden="1">#REF!</definedName>
    <definedName name="BEx7HNM5QUG90PN1J2VL176TH6KY" localSheetId="20" hidden="1">#REF!</definedName>
    <definedName name="BEx7HNM5QUG90PN1J2VL176TH6KY" hidden="1">#REF!</definedName>
    <definedName name="BEx7HQ5T9FZ42QWS09UO4DT42Y0R" localSheetId="20" hidden="1">#REF!</definedName>
    <definedName name="BEx7HQ5T9FZ42QWS09UO4DT42Y0R" hidden="1">#REF!</definedName>
    <definedName name="BEx7HRCZE3CVGON1HV07MT5MNDZ3" localSheetId="20" hidden="1">#REF!</definedName>
    <definedName name="BEx7HRCZE3CVGON1HV07MT5MNDZ3" hidden="1">#REF!</definedName>
    <definedName name="BEx7HWGE2CANG5M17X4C8YNC3N8F" localSheetId="20" hidden="1">#REF!</definedName>
    <definedName name="BEx7HWGE2CANG5M17X4C8YNC3N8F" hidden="1">#REF!</definedName>
    <definedName name="BEx7I8FZ96C5JAHXS18ZV0912LZP" localSheetId="20" hidden="1">#REF!</definedName>
    <definedName name="BEx7I8FZ96C5JAHXS18ZV0912LZP" hidden="1">#REF!</definedName>
    <definedName name="BEx7IBVYN47SFZIA0K4MDKQZNN9V" localSheetId="20" hidden="1">#REF!</definedName>
    <definedName name="BEx7IBVYN47SFZIA0K4MDKQZNN9V" hidden="1">#REF!</definedName>
    <definedName name="BEx7IJOI6V63WKXYU6YTHPHUSP7U" localSheetId="20" hidden="1">#REF!</definedName>
    <definedName name="BEx7IJOI6V63WKXYU6YTHPHUSP7U" hidden="1">#REF!</definedName>
    <definedName name="BEx7IRRUY5JMPVVS2G8ZTVLVF9H8" localSheetId="20" hidden="1">#REF!</definedName>
    <definedName name="BEx7IRRUY5JMPVVS2G8ZTVLVF9H8" hidden="1">#REF!</definedName>
    <definedName name="BEx7IV2IJ5WT7UC0UG7WP0WF2JZI" localSheetId="20" hidden="1">#REF!</definedName>
    <definedName name="BEx7IV2IJ5WT7UC0UG7WP0WF2JZI" hidden="1">#REF!</definedName>
    <definedName name="BEx7IXGU74GE5E4S6W4Z13AR092Y" localSheetId="20" hidden="1">#REF!</definedName>
    <definedName name="BEx7IXGU74GE5E4S6W4Z13AR092Y" hidden="1">#REF!</definedName>
    <definedName name="BEx7J4YL8Q3BI1MLH16YYQ18IJRD" localSheetId="20" hidden="1">#REF!</definedName>
    <definedName name="BEx7J4YL8Q3BI1MLH16YYQ18IJRD" hidden="1">#REF!</definedName>
    <definedName name="BEx7J7CWKB4WKZAQMK3Z0S9GSOSM" localSheetId="20" hidden="1">#REF!</definedName>
    <definedName name="BEx7J7CWKB4WKZAQMK3Z0S9GSOSM" hidden="1">#REF!</definedName>
    <definedName name="BEx7JH3HGBPI07OHZ5LFYK0UFZQR" localSheetId="20" hidden="1">#REF!</definedName>
    <definedName name="BEx7JH3HGBPI07OHZ5LFYK0UFZQR" hidden="1">#REF!</definedName>
    <definedName name="BEx7JV194190CNM6WWGQ3UBJ3CHH" localSheetId="20" hidden="1">#REF!</definedName>
    <definedName name="BEx7JV194190CNM6WWGQ3UBJ3CHH" hidden="1">#REF!</definedName>
    <definedName name="BEx7JZJ4XFUATU0PG7083JPTXG4K" localSheetId="20" hidden="1">#REF!</definedName>
    <definedName name="BEx7JZJ4XFUATU0PG7083JPTXG4K" hidden="1">#REF!</definedName>
    <definedName name="BEx7K469BHM1J8L2PEX3Z5HEMTCE" localSheetId="20" hidden="1">#REF!</definedName>
    <definedName name="BEx7K469BHM1J8L2PEX3Z5HEMTCE" hidden="1">#REF!</definedName>
    <definedName name="BEx7K7GZ607XQOGB81A1HINBTGOZ" localSheetId="20" hidden="1">#REF!</definedName>
    <definedName name="BEx7K7GZ607XQOGB81A1HINBTGOZ" hidden="1">#REF!</definedName>
    <definedName name="BEx7KEYPBDXSNROH8M6CDCBN6B50" localSheetId="20" hidden="1">#REF!</definedName>
    <definedName name="BEx7KEYPBDXSNROH8M6CDCBN6B50" hidden="1">#REF!</definedName>
    <definedName name="BEx7KMGGB2E6YDRM0M7DPVYH3ADI" localSheetId="20" hidden="1">'[38]10.08.3 - 2008 Expense - TDBU'!#REF!</definedName>
    <definedName name="BEx7KMGGB2E6YDRM0M7DPVYH3ADI" hidden="1">'[38]10.08.3 - 2008 Expense - TDBU'!#REF!</definedName>
    <definedName name="BEx7KR92AZ8OH3I7N51J8AU9LRP3" localSheetId="15" hidden="1">#REF!</definedName>
    <definedName name="BEx7KR92AZ8OH3I7N51J8AU9LRP3" localSheetId="16" hidden="1">#REF!</definedName>
    <definedName name="BEx7KR92AZ8OH3I7N51J8AU9LRP3" localSheetId="20" hidden="1">#REF!</definedName>
    <definedName name="BEx7KR92AZ8OH3I7N51J8AU9LRP3" hidden="1">#REF!</definedName>
    <definedName name="BEx7KSAS8BZT6H8OQCZ5DNSTMO07" localSheetId="20" hidden="1">#REF!</definedName>
    <definedName name="BEx7KSAS8BZT6H8OQCZ5DNSTMO07" hidden="1">#REF!</definedName>
    <definedName name="BEx7KWHTBD21COXVI4HNEQH0Z3L8" localSheetId="20" hidden="1">#REF!</definedName>
    <definedName name="BEx7KWHTBD21COXVI4HNEQH0Z3L8" hidden="1">#REF!</definedName>
    <definedName name="BEx7KWY24UYSDR57WCCVR4KEHE7U" localSheetId="20" hidden="1">#REF!</definedName>
    <definedName name="BEx7KWY24UYSDR57WCCVR4KEHE7U" hidden="1">#REF!</definedName>
    <definedName name="BEx7KXUGRMRSUXCM97Z7VRZQ9JH2" localSheetId="20" hidden="1">#REF!</definedName>
    <definedName name="BEx7KXUGRMRSUXCM97Z7VRZQ9JH2" hidden="1">#REF!</definedName>
    <definedName name="BEx7L21IQVP1N1TTQLRMANSSLSLE" localSheetId="20" hidden="1">#REF!</definedName>
    <definedName name="BEx7L21IQVP1N1TTQLRMANSSLSLE" hidden="1">#REF!</definedName>
    <definedName name="BEx7L5C6U8MP6IZ67BD649WQYJEK" localSheetId="20" hidden="1">#REF!</definedName>
    <definedName name="BEx7L5C6U8MP6IZ67BD649WQYJEK" hidden="1">#REF!</definedName>
    <definedName name="BEx7L7QID2UUN1F4435LIWAW8DV3" localSheetId="20" hidden="1">#REF!</definedName>
    <definedName name="BEx7L7QID2UUN1F4435LIWAW8DV3" hidden="1">#REF!</definedName>
    <definedName name="BEx7L8HEYEVTATR0OG5JJO647KNI" localSheetId="20" hidden="1">#REF!</definedName>
    <definedName name="BEx7L8HEYEVTATR0OG5JJO647KNI" hidden="1">#REF!</definedName>
    <definedName name="BEx7L8XOV64OMS15ZFURFEUXLMWF" localSheetId="20" hidden="1">#REF!</definedName>
    <definedName name="BEx7L8XOV64OMS15ZFURFEUXLMWF" hidden="1">#REF!</definedName>
    <definedName name="BEx7LJVFQACL9F4DRS9YZQ9R2N30" localSheetId="20" hidden="1">#REF!</definedName>
    <definedName name="BEx7LJVFQACL9F4DRS9YZQ9R2N30" hidden="1">#REF!</definedName>
    <definedName name="BEx7LZ0D7JSY0VK5FBGMZE26ZKFJ" localSheetId="20" hidden="1">'[38]10.08.2 - 2008 Expense'!#REF!</definedName>
    <definedName name="BEx7LZ0D7JSY0VK5FBGMZE26ZKFJ" hidden="1">'[38]10.08.2 - 2008 Expense'!#REF!</definedName>
    <definedName name="BEx7MAUI1JJFDIJGDW4RWY5384LY" localSheetId="15" hidden="1">#REF!</definedName>
    <definedName name="BEx7MAUI1JJFDIJGDW4RWY5384LY" localSheetId="16" hidden="1">#REF!</definedName>
    <definedName name="BEx7MAUI1JJFDIJGDW4RWY5384LY" localSheetId="20" hidden="1">#REF!</definedName>
    <definedName name="BEx7MAUI1JJFDIJGDW4RWY5384LY" hidden="1">#REF!</definedName>
    <definedName name="BEx7MJZO3UKAMJ53UWOJ5ZD4GGMQ" localSheetId="20" hidden="1">#REF!</definedName>
    <definedName name="BEx7MJZO3UKAMJ53UWOJ5ZD4GGMQ" hidden="1">#REF!</definedName>
    <definedName name="BEx7MQ4RBQK32VUVPFRBYN76KSOD" localSheetId="20" hidden="1">#REF!</definedName>
    <definedName name="BEx7MQ4RBQK32VUVPFRBYN76KSOD" hidden="1">#REF!</definedName>
    <definedName name="BEx7MT4MFNXIVQGAT6D971GZW7CA" localSheetId="20" hidden="1">#REF!</definedName>
    <definedName name="BEx7MT4MFNXIVQGAT6D971GZW7CA" hidden="1">#REF!</definedName>
    <definedName name="BEx7NE3X8Z6J8PMTHDO51G0HICD5" localSheetId="20" hidden="1">#REF!</definedName>
    <definedName name="BEx7NE3X8Z6J8PMTHDO51G0HICD5" hidden="1">#REF!</definedName>
    <definedName name="BEx7NI062THZAM6I8AJWTFJL91CS" localSheetId="20" hidden="1">#REF!</definedName>
    <definedName name="BEx7NI062THZAM6I8AJWTFJL91CS" hidden="1">#REF!</definedName>
    <definedName name="BEx8Z3M9Z5VD3MZ8TD1F5M49MOTD" localSheetId="20" hidden="1">#REF!</definedName>
    <definedName name="BEx8Z3M9Z5VD3MZ8TD1F5M49MOTD" hidden="1">#REF!</definedName>
    <definedName name="BEx8ZCWSI30U7NSNHLBK5HV2J2EN" localSheetId="20" hidden="1">#REF!</definedName>
    <definedName name="BEx8ZCWSI30U7NSNHLBK5HV2J2EN" hidden="1">#REF!</definedName>
    <definedName name="BEx904S75BPRYMHF0083JF7ES4NG" localSheetId="20" hidden="1">#REF!</definedName>
    <definedName name="BEx904S75BPRYMHF0083JF7ES4NG" hidden="1">#REF!</definedName>
    <definedName name="BEx90EZ2HAURBQ5I4V6WD6NYD0AQ" localSheetId="20" hidden="1">#REF!</definedName>
    <definedName name="BEx90EZ2HAURBQ5I4V6WD6NYD0AQ" hidden="1">#REF!</definedName>
    <definedName name="BEx90H2KA91ZVRIJCDN62HJVKQWC" localSheetId="20" hidden="1">#REF!</definedName>
    <definedName name="BEx90H2KA91ZVRIJCDN62HJVKQWC" hidden="1">#REF!</definedName>
    <definedName name="BEx90HDD4RWF7JZGA8GCGG7D63MG" localSheetId="20" hidden="1">#REF!</definedName>
    <definedName name="BEx90HDD4RWF7JZGA8GCGG7D63MG" hidden="1">#REF!</definedName>
    <definedName name="BEx90VGH5H09ON2QXYC9WIIEU98T" localSheetId="20" hidden="1">#REF!</definedName>
    <definedName name="BEx90VGH5H09ON2QXYC9WIIEU98T" hidden="1">#REF!</definedName>
    <definedName name="BEx911LKH78Q9WUWXLOQFEL59ITN" localSheetId="20" hidden="1">#REF!</definedName>
    <definedName name="BEx911LKH78Q9WUWXLOQFEL59ITN" hidden="1">#REF!</definedName>
    <definedName name="BEx911WE3W1AI7TEJHN5ROFMFVQ8" localSheetId="20" hidden="1">'[38]10.08.3 - 2008 Expense - TDBU'!#REF!</definedName>
    <definedName name="BEx911WE3W1AI7TEJHN5ROFMFVQ8" hidden="1">'[38]10.08.3 - 2008 Expense - TDBU'!#REF!</definedName>
    <definedName name="BEx9175B70QXYAU5A8DJPGZQ46L9" localSheetId="15" hidden="1">#REF!</definedName>
    <definedName name="BEx9175B70QXYAU5A8DJPGZQ46L9" localSheetId="16" hidden="1">#REF!</definedName>
    <definedName name="BEx9175B70QXYAU5A8DJPGZQ46L9" localSheetId="20" hidden="1">#REF!</definedName>
    <definedName name="BEx9175B70QXYAU5A8DJPGZQ46L9" hidden="1">#REF!</definedName>
    <definedName name="BEx917QTZAYKMWFVDPZEDX8FH1J3" localSheetId="20" hidden="1">#REF!</definedName>
    <definedName name="BEx917QTZAYKMWFVDPZEDX8FH1J3" hidden="1">#REF!</definedName>
    <definedName name="BEx91AQQRTV87AO27VWHSFZAD4ZR" localSheetId="20" hidden="1">#REF!</definedName>
    <definedName name="BEx91AQQRTV87AO27VWHSFZAD4ZR" hidden="1">#REF!</definedName>
    <definedName name="BEx91FU57YXJK7RHMFDKKYY2JFS7" localSheetId="20" hidden="1">#REF!</definedName>
    <definedName name="BEx91FU57YXJK7RHMFDKKYY2JFS7" hidden="1">#REF!</definedName>
    <definedName name="BEx91KXLTRYJVT47UU2JUUFNKFUT" localSheetId="20" hidden="1">#REF!</definedName>
    <definedName name="BEx91KXLTRYJVT47UU2JUUFNKFUT" hidden="1">#REF!</definedName>
    <definedName name="BEx91L8FLL5CWLA2CDHKCOMGVDZN" localSheetId="20" hidden="1">#REF!</definedName>
    <definedName name="BEx91L8FLL5CWLA2CDHKCOMGVDZN" hidden="1">#REF!</definedName>
    <definedName name="BEx91OTVH9ZDBC3QTORU8RZX4EOC" localSheetId="20" hidden="1">#REF!</definedName>
    <definedName name="BEx91OTVH9ZDBC3QTORU8RZX4EOC" hidden="1">#REF!</definedName>
    <definedName name="BEx91QH5JRZKQP1GPN2SQMR3CKAG" localSheetId="20" hidden="1">#REF!</definedName>
    <definedName name="BEx91QH5JRZKQP1GPN2SQMR3CKAG" hidden="1">#REF!</definedName>
    <definedName name="BEx91ROALDNHO7FI4X8L61RH4UJE" localSheetId="20" hidden="1">#REF!</definedName>
    <definedName name="BEx91ROALDNHO7FI4X8L61RH4UJE" hidden="1">#REF!</definedName>
    <definedName name="BEx91TMID71GVYH0U16QM1RV3PX0" localSheetId="20" hidden="1">#REF!</definedName>
    <definedName name="BEx91TMID71GVYH0U16QM1RV3PX0" hidden="1">#REF!</definedName>
    <definedName name="BEx91VF2D78PAF337E3L2L81K9W2" localSheetId="20" hidden="1">#REF!</definedName>
    <definedName name="BEx91VF2D78PAF337E3L2L81K9W2" hidden="1">#REF!</definedName>
    <definedName name="BEx920O0C4FBKNO2WASY82KSAGWC" localSheetId="20" hidden="1">#REF!</definedName>
    <definedName name="BEx920O0C4FBKNO2WASY82KSAGWC" hidden="1">#REF!</definedName>
    <definedName name="BEx921PNZ46VORG2VRMWREWIC0SE" localSheetId="20" hidden="1">#REF!</definedName>
    <definedName name="BEx921PNZ46VORG2VRMWREWIC0SE" hidden="1">#REF!</definedName>
    <definedName name="BEx929YGVS1SWUVBOM0JDPJFRIAE" localSheetId="20" hidden="1">#REF!</definedName>
    <definedName name="BEx929YGVS1SWUVBOM0JDPJFRIAE" hidden="1">#REF!</definedName>
    <definedName name="BEx92DPEKL5WM5A3CN8674JI0PR3" localSheetId="20" hidden="1">#REF!</definedName>
    <definedName name="BEx92DPEKL5WM5A3CN8674JI0PR3" hidden="1">#REF!</definedName>
    <definedName name="BEx92ER2RMY93TZK0D9L9T3H0GI5" localSheetId="20" hidden="1">#REF!</definedName>
    <definedName name="BEx92ER2RMY93TZK0D9L9T3H0GI5" hidden="1">#REF!</definedName>
    <definedName name="BEx92FI04PJT4LI23KKIHRXWJDTT" localSheetId="20" hidden="1">#REF!</definedName>
    <definedName name="BEx92FI04PJT4LI23KKIHRXWJDTT" hidden="1">#REF!</definedName>
    <definedName name="BEx92HR14HQ9D5JXCSPA4SS4RT62" localSheetId="20" hidden="1">#REF!</definedName>
    <definedName name="BEx92HR14HQ9D5JXCSPA4SS4RT62" hidden="1">#REF!</definedName>
    <definedName name="BEx92HWA2D6A5EX9MFG68G0NOMSN" localSheetId="20" hidden="1">#REF!</definedName>
    <definedName name="BEx92HWA2D6A5EX9MFG68G0NOMSN" hidden="1">#REF!</definedName>
    <definedName name="BEx92PUBDIXAU1FW5ZAXECMAU0LN" localSheetId="20" hidden="1">#REF!</definedName>
    <definedName name="BEx92PUBDIXAU1FW5ZAXECMAU0LN" hidden="1">#REF!</definedName>
    <definedName name="BEx92S8MHFFIVRQ2YSHZNQGOFUHD" localSheetId="20" hidden="1">#REF!</definedName>
    <definedName name="BEx92S8MHFFIVRQ2YSHZNQGOFUHD" hidden="1">#REF!</definedName>
    <definedName name="BEx9318BWFQZC3NQS37Q6XU3D425" localSheetId="20" hidden="1">#REF!</definedName>
    <definedName name="BEx9318BWFQZC3NQS37Q6XU3D425" hidden="1">#REF!</definedName>
    <definedName name="BEx93B9OULL2YGC896XXYAAJSTRK" localSheetId="20" hidden="1">#REF!</definedName>
    <definedName name="BEx93B9OULL2YGC896XXYAAJSTRK" hidden="1">#REF!</definedName>
    <definedName name="BEx93FRKF99NRT3LH99UTIH7AAYF" localSheetId="20" hidden="1">#REF!</definedName>
    <definedName name="BEx93FRKF99NRT3LH99UTIH7AAYF" hidden="1">#REF!</definedName>
    <definedName name="BEx93M7FSHP50OG34A4W8W8DF12U" localSheetId="20" hidden="1">#REF!</definedName>
    <definedName name="BEx93M7FSHP50OG34A4W8W8DF12U" hidden="1">#REF!</definedName>
    <definedName name="BEx93OLWY2O3PRA74U41VG5RXT4Q" localSheetId="20" hidden="1">#REF!</definedName>
    <definedName name="BEx93OLWY2O3PRA74U41VG5RXT4Q" hidden="1">#REF!</definedName>
    <definedName name="BEx93RWFAF6YJGYUTITVM445C02U" localSheetId="20" hidden="1">#REF!</definedName>
    <definedName name="BEx93RWFAF6YJGYUTITVM445C02U" hidden="1">#REF!</definedName>
    <definedName name="BEx93SY9RWG3HUV4YXQKXJH9FH14" localSheetId="20" hidden="1">#REF!</definedName>
    <definedName name="BEx93SY9RWG3HUV4YXQKXJH9FH14" hidden="1">#REF!</definedName>
    <definedName name="BEx93TJUX3U0FJDBG6DDSNQ91R5J" localSheetId="20" hidden="1">#REF!</definedName>
    <definedName name="BEx93TJUX3U0FJDBG6DDSNQ91R5J" hidden="1">#REF!</definedName>
    <definedName name="BEx941SIC58506DFIGKOLIHQ7KCX" localSheetId="20" hidden="1">#REF!</definedName>
    <definedName name="BEx941SIC58506DFIGKOLIHQ7KCX" hidden="1">#REF!</definedName>
    <definedName name="BEx942UCRHMI4B0US31HO95GSC2X" localSheetId="20" hidden="1">#REF!</definedName>
    <definedName name="BEx942UCRHMI4B0US31HO95GSC2X" hidden="1">#REF!</definedName>
    <definedName name="BEx944SDUSMOBHNE6J8XN1EOL90T" localSheetId="20" hidden="1">#REF!</definedName>
    <definedName name="BEx944SDUSMOBHNE6J8XN1EOL90T" hidden="1">#REF!</definedName>
    <definedName name="BEx948ZFFQWVIDNG4AZAUGGGEB5U" localSheetId="20" hidden="1">#REF!</definedName>
    <definedName name="BEx948ZFFQWVIDNG4AZAUGGGEB5U" hidden="1">#REF!</definedName>
    <definedName name="BEx94CKXG92OMURH41SNU6IOHK4J" localSheetId="20" hidden="1">#REF!</definedName>
    <definedName name="BEx94CKXG92OMURH41SNU6IOHK4J" hidden="1">#REF!</definedName>
    <definedName name="BEx94GXG30CIVB6ZQN3X3IK6BZXQ" localSheetId="20" hidden="1">#REF!</definedName>
    <definedName name="BEx94GXG30CIVB6ZQN3X3IK6BZXQ" hidden="1">#REF!</definedName>
    <definedName name="BEx94HZ5LURYM9ST744ALV6ZCKYP" localSheetId="20" hidden="1">#REF!</definedName>
    <definedName name="BEx94HZ5LURYM9ST744ALV6ZCKYP" hidden="1">#REF!</definedName>
    <definedName name="BEx94IQ75E90YUMWJ9N591LR7DQQ" localSheetId="20" hidden="1">#REF!</definedName>
    <definedName name="BEx94IQ75E90YUMWJ9N591LR7DQQ" hidden="1">#REF!</definedName>
    <definedName name="BEx94L9TBK45AUQSX1IUZ86U1GPQ" localSheetId="20" hidden="1">#REF!</definedName>
    <definedName name="BEx94L9TBK45AUQSX1IUZ86U1GPQ" hidden="1">#REF!</definedName>
    <definedName name="BEx94N7W5T3U7UOE97D6OVIBUCXS" localSheetId="20" hidden="1">#REF!</definedName>
    <definedName name="BEx94N7W5T3U7UOE97D6OVIBUCXS" hidden="1">#REF!</definedName>
    <definedName name="BEx953PB6S6ECMD8N0JSW0CBG0DA" localSheetId="20" hidden="1">#REF!</definedName>
    <definedName name="BEx953PB6S6ECMD8N0JSW0CBG0DA" hidden="1">#REF!</definedName>
    <definedName name="BEx955NIAWX5OLAHMTV6QFUZPR30" localSheetId="20" hidden="1">#REF!</definedName>
    <definedName name="BEx955NIAWX5OLAHMTV6QFUZPR30" hidden="1">#REF!</definedName>
    <definedName name="BEx9581TYVI2M5TT4ISDAJV4W7Z6" localSheetId="20" hidden="1">#REF!</definedName>
    <definedName name="BEx9581TYVI2M5TT4ISDAJV4W7Z6" hidden="1">#REF!</definedName>
    <definedName name="BEx95NHF4RVUE0YDOAFZEIVBYJXD" localSheetId="20" hidden="1">#REF!</definedName>
    <definedName name="BEx95NHF4RVUE0YDOAFZEIVBYJXD" hidden="1">#REF!</definedName>
    <definedName name="BEx95QBZMG0E2KQ9BERJ861QLYN3" localSheetId="20" hidden="1">#REF!</definedName>
    <definedName name="BEx95QBZMG0E2KQ9BERJ861QLYN3" hidden="1">#REF!</definedName>
    <definedName name="BEx95QHBVDN795UNQJLRXG3RDU49" localSheetId="20" hidden="1">#REF!</definedName>
    <definedName name="BEx95QHBVDN795UNQJLRXG3RDU49" hidden="1">#REF!</definedName>
    <definedName name="BEx95TBVUWV7L7OMFMZDQEXGVHU6" localSheetId="20" hidden="1">#REF!</definedName>
    <definedName name="BEx95TBVUWV7L7OMFMZDQEXGVHU6" hidden="1">#REF!</definedName>
    <definedName name="BEx95TXH048JPPZ7VXKTCAEE6GQS" localSheetId="20" hidden="1">#REF!</definedName>
    <definedName name="BEx95TXH048JPPZ7VXKTCAEE6GQS" hidden="1">#REF!</definedName>
    <definedName name="BEx95U89DZZSVO39TGS62CX8G9N4" localSheetId="20" hidden="1">#REF!</definedName>
    <definedName name="BEx95U89DZZSVO39TGS62CX8G9N4" hidden="1">#REF!</definedName>
    <definedName name="BEx9602K2GHNBUEUVT9ONRQU1GMD" localSheetId="20" hidden="1">#REF!</definedName>
    <definedName name="BEx9602K2GHNBUEUVT9ONRQU1GMD" hidden="1">#REF!</definedName>
    <definedName name="BEx962BL3Y4LA53EBYI64ZYMZE8U" localSheetId="20" hidden="1">#REF!</definedName>
    <definedName name="BEx962BL3Y4LA53EBYI64ZYMZE8U" hidden="1">#REF!</definedName>
    <definedName name="BEx96KR21O7H9R29TN0S45Y3QPUK" localSheetId="20" hidden="1">#REF!</definedName>
    <definedName name="BEx96KR21O7H9R29TN0S45Y3QPUK" hidden="1">#REF!</definedName>
    <definedName name="BEx96KWJ7BHXX4IIM048C3O7S59S" localSheetId="20" hidden="1">'[38]10.08.5 - 2008 Capital - TDBU'!#REF!</definedName>
    <definedName name="BEx96KWJ7BHXX4IIM048C3O7S59S" hidden="1">'[38]10.08.5 - 2008 Capital - TDBU'!#REF!</definedName>
    <definedName name="BEx96SUFKHHFE8XQ6UUO6ILDOXHO" localSheetId="15" hidden="1">#REF!</definedName>
    <definedName name="BEx96SUFKHHFE8XQ6UUO6ILDOXHO" localSheetId="16" hidden="1">#REF!</definedName>
    <definedName name="BEx96SUFKHHFE8XQ6UUO6ILDOXHO" localSheetId="20" hidden="1">#REF!</definedName>
    <definedName name="BEx96SUFKHHFE8XQ6UUO6ILDOXHO" hidden="1">#REF!</definedName>
    <definedName name="BEx96UN4YWXBDEZ1U1ZUIPP41Z7I" localSheetId="20" hidden="1">#REF!</definedName>
    <definedName name="BEx96UN4YWXBDEZ1U1ZUIPP41Z7I" hidden="1">#REF!</definedName>
    <definedName name="BEx970MYCPJ6DQ44TKLOIGZO5LHH" localSheetId="20" hidden="1">#REF!</definedName>
    <definedName name="BEx970MYCPJ6DQ44TKLOIGZO5LHH" hidden="1">#REF!</definedName>
    <definedName name="BEx978KSD61YJH3S9DGO050R2EHA" localSheetId="20" hidden="1">#REF!</definedName>
    <definedName name="BEx978KSD61YJH3S9DGO050R2EHA" hidden="1">#REF!</definedName>
    <definedName name="BEx97CBOZZVIAFCLYWXO84QIM5RH" localSheetId="20" hidden="1">#REF!</definedName>
    <definedName name="BEx97CBOZZVIAFCLYWXO84QIM5RH" hidden="1">#REF!</definedName>
    <definedName name="BEx97H9O1NAKAPK4MX4PKO34ICL5" localSheetId="20" hidden="1">#REF!</definedName>
    <definedName name="BEx97H9O1NAKAPK4MX4PKO34ICL5" hidden="1">#REF!</definedName>
    <definedName name="BEx97HVA5F2I0D6ID81KCUDEQOIH" localSheetId="20" hidden="1">#REF!</definedName>
    <definedName name="BEx97HVA5F2I0D6ID81KCUDEQOIH" hidden="1">#REF!</definedName>
    <definedName name="BEx97MNUZQ1Z0AO2FL7XQYVNCPR7" localSheetId="20" hidden="1">#REF!</definedName>
    <definedName name="BEx97MNUZQ1Z0AO2FL7XQYVNCPR7" hidden="1">#REF!</definedName>
    <definedName name="BEx97NPQBACJVD9K1YXI08RTW9E2" localSheetId="20" hidden="1">#REF!</definedName>
    <definedName name="BEx97NPQBACJVD9K1YXI08RTW9E2" hidden="1">#REF!</definedName>
    <definedName name="BEx97RWQLXS0OORDCN69IGA58CWU" localSheetId="20" hidden="1">#REF!</definedName>
    <definedName name="BEx97RWQLXS0OORDCN69IGA58CWU" hidden="1">#REF!</definedName>
    <definedName name="BEx97YNGGDFIXHTMGFL2IHAQX9MI" localSheetId="20" hidden="1">#REF!</definedName>
    <definedName name="BEx97YNGGDFIXHTMGFL2IHAQX9MI" hidden="1">#REF!</definedName>
    <definedName name="BEx980QZQVMVK22H7FW8VJ1Y8HJR" localSheetId="20" hidden="1">#REF!</definedName>
    <definedName name="BEx980QZQVMVK22H7FW8VJ1Y8HJR" hidden="1">#REF!</definedName>
    <definedName name="BEx981HW73BUZWT14TBTZHC0ZTJ4" localSheetId="20" hidden="1">#REF!</definedName>
    <definedName name="BEx981HW73BUZWT14TBTZHC0ZTJ4" hidden="1">#REF!</definedName>
    <definedName name="BEx9853EGK21LS9VVKSCCC6V43AN" localSheetId="20" hidden="1">#REF!</definedName>
    <definedName name="BEx9853EGK21LS9VVKSCCC6V43AN" hidden="1">#REF!</definedName>
    <definedName name="BEx985JLSPMNH380TKBDXAEFC980" localSheetId="20" hidden="1">#REF!</definedName>
    <definedName name="BEx985JLSPMNH380TKBDXAEFC980" hidden="1">#REF!</definedName>
    <definedName name="BEx9871KU0N99P0900EAK69VFYT2" localSheetId="20" hidden="1">#REF!</definedName>
    <definedName name="BEx9871KU0N99P0900EAK69VFYT2" hidden="1">#REF!</definedName>
    <definedName name="BEx98A6S6VO1UKBYLX05KBIT7SC0" localSheetId="20" hidden="1">#REF!</definedName>
    <definedName name="BEx98A6S6VO1UKBYLX05KBIT7SC0" hidden="1">#REF!</definedName>
    <definedName name="BEx98IFKNJFGZFLID1YTRFEG1SXY" localSheetId="20" hidden="1">#REF!</definedName>
    <definedName name="BEx98IFKNJFGZFLID1YTRFEG1SXY" hidden="1">#REF!</definedName>
    <definedName name="BEx98N2R8QZSZ6MEH3L7U7U7D9GD" localSheetId="20" hidden="1">#REF!</definedName>
    <definedName name="BEx98N2R8QZSZ6MEH3L7U7U7D9GD" hidden="1">#REF!</definedName>
    <definedName name="BEx9915UVD4G7RA3IMLFZ0LG3UA2" localSheetId="20" hidden="1">#REF!</definedName>
    <definedName name="BEx9915UVD4G7RA3IMLFZ0LG3UA2" hidden="1">#REF!</definedName>
    <definedName name="BEx992CZON8AO7U7V88VN1JBO0MG" localSheetId="20" hidden="1">#REF!</definedName>
    <definedName name="BEx992CZON8AO7U7V88VN1JBO0MG" hidden="1">#REF!</definedName>
    <definedName name="BEx9952469XMFGSPXL7CMXHPJF90" localSheetId="20" hidden="1">#REF!</definedName>
    <definedName name="BEx9952469XMFGSPXL7CMXHPJF90" hidden="1">#REF!</definedName>
    <definedName name="BEx996PK8YMHSV0CFJOHOX1OCXHG" localSheetId="20" hidden="1">#REF!</definedName>
    <definedName name="BEx996PK8YMHSV0CFJOHOX1OCXHG" hidden="1">#REF!</definedName>
    <definedName name="BEx99B77I7TUSHRR4HIZ9FU2EIUT" localSheetId="20" hidden="1">#REF!</definedName>
    <definedName name="BEx99B77I7TUSHRR4HIZ9FU2EIUT" hidden="1">#REF!</definedName>
    <definedName name="BEx99Q6PH5F3OQKCCAAO75PYDEFN" localSheetId="20" hidden="1">#REF!</definedName>
    <definedName name="BEx99Q6PH5F3OQKCCAAO75PYDEFN" hidden="1">#REF!</definedName>
    <definedName name="BEx99WBYT2D6UUC1PT7A40ENYID4" localSheetId="20" hidden="1">#REF!</definedName>
    <definedName name="BEx99WBYT2D6UUC1PT7A40ENYID4" hidden="1">#REF!</definedName>
    <definedName name="BEx99XOGHOM28CNCYKQWYGL56W2S" localSheetId="20" hidden="1">#REF!</definedName>
    <definedName name="BEx99XOGHOM28CNCYKQWYGL56W2S" hidden="1">#REF!</definedName>
    <definedName name="BEx99ZRZ4I7FHDPGRAT5VW7NVBPU" localSheetId="20" hidden="1">#REF!</definedName>
    <definedName name="BEx99ZRZ4I7FHDPGRAT5VW7NVBPU" hidden="1">#REF!</definedName>
    <definedName name="BEx9AT5E3ZSHKSOL35O38L8HF9TH" localSheetId="20" hidden="1">#REF!</definedName>
    <definedName name="BEx9AT5E3ZSHKSOL35O38L8HF9TH" hidden="1">#REF!</definedName>
    <definedName name="BEx9AV8W1FAWF5BHATYEN47X12JN" localSheetId="20" hidden="1">#REF!</definedName>
    <definedName name="BEx9AV8W1FAWF5BHATYEN47X12JN" hidden="1">#REF!</definedName>
    <definedName name="BEx9B8A5186FNTQQNLIO5LK02ABI" localSheetId="20" hidden="1">#REF!</definedName>
    <definedName name="BEx9B8A5186FNTQQNLIO5LK02ABI" hidden="1">#REF!</definedName>
    <definedName name="BEx9B8VR20E2CILU4CDQUQQ9ONXK" localSheetId="20" hidden="1">#REF!</definedName>
    <definedName name="BEx9B8VR20E2CILU4CDQUQQ9ONXK" hidden="1">#REF!</definedName>
    <definedName name="BEx9B917BFT5XKMEOKSZYR2JDGKF" localSheetId="20" hidden="1">#REF!</definedName>
    <definedName name="BEx9B917BFT5XKMEOKSZYR2JDGKF" hidden="1">#REF!</definedName>
    <definedName name="BEx9B917EUP13X6FQ3NPQL76XM5V" localSheetId="20" hidden="1">#REF!</definedName>
    <definedName name="BEx9B917EUP13X6FQ3NPQL76XM5V" hidden="1">#REF!</definedName>
    <definedName name="BEx9BAJ5WYEQ623HUT9NNCMP3RUG" localSheetId="20" hidden="1">#REF!</definedName>
    <definedName name="BEx9BAJ5WYEQ623HUT9NNCMP3RUG" hidden="1">#REF!</definedName>
    <definedName name="BEx9BURCKUDZU2MLNSZIIBVDAXBV" localSheetId="20" hidden="1">#REF!</definedName>
    <definedName name="BEx9BURCKUDZU2MLNSZIIBVDAXBV" hidden="1">#REF!</definedName>
    <definedName name="BEx9BYNN9WBL0OZNO7QKTM7XA0XO" localSheetId="20" hidden="1">#REF!</definedName>
    <definedName name="BEx9BYNN9WBL0OZNO7QKTM7XA0XO" hidden="1">#REF!</definedName>
    <definedName name="BEx9BYSYW7QCPXS2NAVLFAU5Y2Z2" localSheetId="20" hidden="1">#REF!</definedName>
    <definedName name="BEx9BYSYW7QCPXS2NAVLFAU5Y2Z2" hidden="1">#REF!</definedName>
    <definedName name="BEx9C590HJ2O31IWJB73C1HR74AI" localSheetId="20" hidden="1">#REF!</definedName>
    <definedName name="BEx9C590HJ2O31IWJB73C1HR74AI" hidden="1">#REF!</definedName>
    <definedName name="BEx9CCQRMYYOGIOYTOM73VKDIPS1" localSheetId="20" hidden="1">#REF!</definedName>
    <definedName name="BEx9CCQRMYYOGIOYTOM73VKDIPS1" hidden="1">#REF!</definedName>
    <definedName name="BEx9COA2U27AO1YZGMLP7B8DR22D" localSheetId="20" hidden="1">#REF!</definedName>
    <definedName name="BEx9COA2U27AO1YZGMLP7B8DR22D" hidden="1">#REF!</definedName>
    <definedName name="BEx9D1BC9FT19KY0INAABNDBAMR1" localSheetId="20" hidden="1">#REF!</definedName>
    <definedName name="BEx9D1BC9FT19KY0INAABNDBAMR1" hidden="1">#REF!</definedName>
    <definedName name="BEx9DN6ZMF18Q39MPMXSDJTZQNJ3" localSheetId="20" hidden="1">#REF!</definedName>
    <definedName name="BEx9DN6ZMF18Q39MPMXSDJTZQNJ3" hidden="1">#REF!</definedName>
    <definedName name="BEx9DUU8DALPSCW66GTMQRPXZ6GL" localSheetId="20" hidden="1">#REF!</definedName>
    <definedName name="BEx9DUU8DALPSCW66GTMQRPXZ6GL" hidden="1">#REF!</definedName>
    <definedName name="BEx9E14TDNSEMI784W0OTIEQMWN6" localSheetId="20" hidden="1">#REF!</definedName>
    <definedName name="BEx9E14TDNSEMI784W0OTIEQMWN6" hidden="1">#REF!</definedName>
    <definedName name="BEx9E2BZ2B1R41FMGJCJ7JLGLUAJ" localSheetId="20" hidden="1">#REF!</definedName>
    <definedName name="BEx9E2BZ2B1R41FMGJCJ7JLGLUAJ" hidden="1">#REF!</definedName>
    <definedName name="BEx9E6DJDRR3E21QMZAPDC3O470U" localSheetId="20" hidden="1">#REF!</definedName>
    <definedName name="BEx9E6DJDRR3E21QMZAPDC3O470U" hidden="1">#REF!</definedName>
    <definedName name="BEx9EG9KBJ77M8LEOR9ITOKN5KXY" localSheetId="20" hidden="1">#REF!</definedName>
    <definedName name="BEx9EG9KBJ77M8LEOR9ITOKN5KXY" hidden="1">#REF!</definedName>
    <definedName name="BEx9EMK6HAJJMVYZTN5AUIV7O1E6" localSheetId="20" hidden="1">#REF!</definedName>
    <definedName name="BEx9EMK6HAJJMVYZTN5AUIV7O1E6" hidden="1">#REF!</definedName>
    <definedName name="BEx9EQLVZHYQ1TPX7WH3SOWXCZLE" localSheetId="20" hidden="1">#REF!</definedName>
    <definedName name="BEx9EQLVZHYQ1TPX7WH3SOWXCZLE" hidden="1">#REF!</definedName>
    <definedName name="BEx9ETLU0EK5LGEM1QCNYN2S8O5F" localSheetId="20" hidden="1">#REF!</definedName>
    <definedName name="BEx9ETLU0EK5LGEM1QCNYN2S8O5F" hidden="1">#REF!</definedName>
    <definedName name="BEx9F0Y2ESUNE3U7TQDLMPE9BO67" localSheetId="20" hidden="1">#REF!</definedName>
    <definedName name="BEx9F0Y2ESUNE3U7TQDLMPE9BO67" hidden="1">#REF!</definedName>
    <definedName name="BEx9F5W18ZGFOKGRE8PR6T1MO6GT" localSheetId="20" hidden="1">#REF!</definedName>
    <definedName name="BEx9F5W18ZGFOKGRE8PR6T1MO6GT" hidden="1">#REF!</definedName>
    <definedName name="BEx9F78N4HY0XFGBQ4UJRD52L1EI" localSheetId="20" hidden="1">#REF!</definedName>
    <definedName name="BEx9F78N4HY0XFGBQ4UJRD52L1EI" hidden="1">#REF!</definedName>
    <definedName name="BEx9FF16LOQP5QIR4UHW5EIFGQB8" localSheetId="20" hidden="1">#REF!</definedName>
    <definedName name="BEx9FF16LOQP5QIR4UHW5EIFGQB8" hidden="1">#REF!</definedName>
    <definedName name="BEx9FJTSRCZ3ZXT3QVBJT5NF8T7V" localSheetId="20" hidden="1">#REF!</definedName>
    <definedName name="BEx9FJTSRCZ3ZXT3QVBJT5NF8T7V" hidden="1">#REF!</definedName>
    <definedName name="BEx9FRBEEYPS5HLS3XT34AKZN94G" localSheetId="20" hidden="1">#REF!</definedName>
    <definedName name="BEx9FRBEEYPS5HLS3XT34AKZN94G" hidden="1">#REF!</definedName>
    <definedName name="BEx9GD1Q3X2QNEWIFN2YPBFX6LMO" localSheetId="20" hidden="1">#REF!</definedName>
    <definedName name="BEx9GD1Q3X2QNEWIFN2YPBFX6LMO" hidden="1">#REF!</definedName>
    <definedName name="BEx9GDY4D8ZPQJCYFIMYM0V0C51Y" localSheetId="20" hidden="1">#REF!</definedName>
    <definedName name="BEx9GDY4D8ZPQJCYFIMYM0V0C51Y" hidden="1">#REF!</definedName>
    <definedName name="BEx9GGY04V0ZWI6O9KZH4KSBB389" localSheetId="20" hidden="1">#REF!</definedName>
    <definedName name="BEx9GGY04V0ZWI6O9KZH4KSBB389" hidden="1">#REF!</definedName>
    <definedName name="BEx9GNOPB6OZ2RH3FCDNJR38RJOS" localSheetId="20" hidden="1">#REF!</definedName>
    <definedName name="BEx9GNOPB6OZ2RH3FCDNJR38RJOS" hidden="1">#REF!</definedName>
    <definedName name="BEx9GUQALUWCD30UKUQGSWW8KBQ7" localSheetId="20" hidden="1">#REF!</definedName>
    <definedName name="BEx9GUQALUWCD30UKUQGSWW8KBQ7" hidden="1">#REF!</definedName>
    <definedName name="BEx9GY6BVFQGCLMOWVT6PIC9WP5X" localSheetId="20" hidden="1">#REF!</definedName>
    <definedName name="BEx9GY6BVFQGCLMOWVT6PIC9WP5X" hidden="1">#REF!</definedName>
    <definedName name="BEx9GZ2P3FDHKXEBXX2VS0BG2NP2" localSheetId="20" hidden="1">#REF!</definedName>
    <definedName name="BEx9GZ2P3FDHKXEBXX2VS0BG2NP2" hidden="1">#REF!</definedName>
    <definedName name="BEx9H04IB14E1437FF2OIRRWBSD7" localSheetId="20" hidden="1">#REF!</definedName>
    <definedName name="BEx9H04IB14E1437FF2OIRRWBSD7" hidden="1">#REF!</definedName>
    <definedName name="BEx9H5O1KDZJCW91Q29VRPY5YS6P" localSheetId="20" hidden="1">#REF!</definedName>
    <definedName name="BEx9H5O1KDZJCW91Q29VRPY5YS6P" hidden="1">#REF!</definedName>
    <definedName name="BEx9H645M2VLV3GR46GAUCXDZQ4K" localSheetId="20" hidden="1">#REF!</definedName>
    <definedName name="BEx9H645M2VLV3GR46GAUCXDZQ4K" hidden="1">#REF!</definedName>
    <definedName name="BEx9H8YR0E906F1JXZMBX3LNT004" localSheetId="20" hidden="1">#REF!</definedName>
    <definedName name="BEx9H8YR0E906F1JXZMBX3LNT004" hidden="1">#REF!</definedName>
    <definedName name="BEx9HVQR4IC0WPZ653S8B4V0A13M" localSheetId="20" hidden="1">'[38]10.08.5 - 2008 Capital - TDBU'!#REF!</definedName>
    <definedName name="BEx9HVQR4IC0WPZ653S8B4V0A13M" hidden="1">'[38]10.08.5 - 2008 Capital - TDBU'!#REF!</definedName>
    <definedName name="BEx9I38IOO8BH8XCE1W3NL31U1L9" localSheetId="15" hidden="1">#REF!</definedName>
    <definedName name="BEx9I38IOO8BH8XCE1W3NL31U1L9" localSheetId="16" hidden="1">#REF!</definedName>
    <definedName name="BEx9I38IOO8BH8XCE1W3NL31U1L9" localSheetId="20" hidden="1">#REF!</definedName>
    <definedName name="BEx9I38IOO8BH8XCE1W3NL31U1L9" hidden="1">#REF!</definedName>
    <definedName name="BEx9I8XIG7E5NB48QQHXP23FIN60" localSheetId="20" hidden="1">#REF!</definedName>
    <definedName name="BEx9I8XIG7E5NB48QQHXP23FIN60" hidden="1">#REF!</definedName>
    <definedName name="BEx9IHX7C0FG3M2R14H0SWIUGAOA" localSheetId="20" hidden="1">#REF!</definedName>
    <definedName name="BEx9IHX7C0FG3M2R14H0SWIUGAOA" hidden="1">#REF!</definedName>
    <definedName name="BEx9IQRF01ATLVK0YE60ARKQJ68L" localSheetId="20" hidden="1">#REF!</definedName>
    <definedName name="BEx9IQRF01ATLVK0YE60ARKQJ68L" hidden="1">#REF!</definedName>
    <definedName name="BEx9IT5QNZWKM6YQ5WER0DC2PMMU" localSheetId="20" hidden="1">#REF!</definedName>
    <definedName name="BEx9IT5QNZWKM6YQ5WER0DC2PMMU" hidden="1">#REF!</definedName>
    <definedName name="BEx9ITRA6B7P81T57OO22V5XLX9P" localSheetId="20" hidden="1">#REF!</definedName>
    <definedName name="BEx9ITRA6B7P81T57OO22V5XLX9P" hidden="1">#REF!</definedName>
    <definedName name="BEx9IW5MFLXTVCJHVUZTUH93AXOS" localSheetId="20" hidden="1">#REF!</definedName>
    <definedName name="BEx9IW5MFLXTVCJHVUZTUH93AXOS" hidden="1">#REF!</definedName>
    <definedName name="BEx9IXCSPSZC80YZUPRCYTG326KV" localSheetId="20" hidden="1">#REF!</definedName>
    <definedName name="BEx9IXCSPSZC80YZUPRCYTG326KV" hidden="1">#REF!</definedName>
    <definedName name="BEx9IZR39NHDGOM97H4E6F81RTQW" localSheetId="20" hidden="1">#REF!</definedName>
    <definedName name="BEx9IZR39NHDGOM97H4E6F81RTQW" hidden="1">#REF!</definedName>
    <definedName name="BEx9J07CU8X78XP5E4QC8XZ6YRCG" localSheetId="20" hidden="1">#REF!</definedName>
    <definedName name="BEx9J07CU8X78XP5E4QC8XZ6YRCG" hidden="1">#REF!</definedName>
    <definedName name="BEx9J6CH5E7YZPER7HXEIOIKGPCA" localSheetId="20" hidden="1">#REF!</definedName>
    <definedName name="BEx9J6CH5E7YZPER7HXEIOIKGPCA" hidden="1">#REF!</definedName>
    <definedName name="BEx9JJTZKVUJAVPTRE0RAVTEH41G" localSheetId="20" hidden="1">#REF!</definedName>
    <definedName name="BEx9JJTZKVUJAVPTRE0RAVTEH41G" hidden="1">#REF!</definedName>
    <definedName name="BEx9JLBYK239B3F841C7YG1GT7ST" localSheetId="20" hidden="1">#REF!</definedName>
    <definedName name="BEx9JLBYK239B3F841C7YG1GT7ST" hidden="1">#REF!</definedName>
    <definedName name="BEx9JQQ6BSIHSV0FS8QDIRPHMMLE" localSheetId="20" hidden="1">#REF!</definedName>
    <definedName name="BEx9JQQ6BSIHSV0FS8QDIRPHMMLE" hidden="1">#REF!</definedName>
    <definedName name="BEx9KP7077LQ4Q2NWSIETHZ0VA05" localSheetId="20" hidden="1">#REF!</definedName>
    <definedName name="BEx9KP7077LQ4Q2NWSIETHZ0VA05" hidden="1">#REF!</definedName>
    <definedName name="BExAW4IIW5D0MDY6TJ3G4FOLPYIR" localSheetId="20" hidden="1">#REF!</definedName>
    <definedName name="BExAW4IIW5D0MDY6TJ3G4FOLPYIR" hidden="1">#REF!</definedName>
    <definedName name="BExAW4TAPBZ18ES67GKFVYMS67N7" localSheetId="20" hidden="1">#REF!</definedName>
    <definedName name="BExAW4TAPBZ18ES67GKFVYMS67N7" hidden="1">#REF!</definedName>
    <definedName name="BExAWOAN9I36Q6B2P1316PE3048X" localSheetId="20" hidden="1">#REF!</definedName>
    <definedName name="BExAWOAN9I36Q6B2P1316PE3048X" hidden="1">#REF!</definedName>
    <definedName name="BExAWSSHUYAPXJEDC9JT9394SHQ5" localSheetId="20" hidden="1">#REF!</definedName>
    <definedName name="BExAWSSHUYAPXJEDC9JT9394SHQ5" hidden="1">#REF!</definedName>
    <definedName name="BExAX410NB4F2XOB84OR2197H8M5" localSheetId="20" hidden="1">#REF!</definedName>
    <definedName name="BExAX410NB4F2XOB84OR2197H8M5" hidden="1">#REF!</definedName>
    <definedName name="BExAX70W4OH6R7K3QT3YA9PA2APO" localSheetId="20" hidden="1">#REF!</definedName>
    <definedName name="BExAX70W4OH6R7K3QT3YA9PA2APO" hidden="1">#REF!</definedName>
    <definedName name="BExAX8TNG8LQ5Q4904SAYQIPGBSV" localSheetId="20" hidden="1">#REF!</definedName>
    <definedName name="BExAX8TNG8LQ5Q4904SAYQIPGBSV" hidden="1">#REF!</definedName>
    <definedName name="BExAXLK9UGB0UFRV7X4UPIUEJ3VZ" localSheetId="20" hidden="1">#REF!</definedName>
    <definedName name="BExAXLK9UGB0UFRV7X4UPIUEJ3VZ" hidden="1">#REF!</definedName>
    <definedName name="BExAY0EAT2LXR5MFGM0DLIB45PLO" localSheetId="20" hidden="1">#REF!</definedName>
    <definedName name="BExAY0EAT2LXR5MFGM0DLIB45PLO" hidden="1">#REF!</definedName>
    <definedName name="BExAYE6LNIEBR9DSNI5JGNITGKIT" localSheetId="20" hidden="1">#REF!</definedName>
    <definedName name="BExAYE6LNIEBR9DSNI5JGNITGKIT" hidden="1">#REF!</definedName>
    <definedName name="BExAYHMLXGGO25P8HYB2S75DEB4F" localSheetId="20" hidden="1">#REF!</definedName>
    <definedName name="BExAYHMLXGGO25P8HYB2S75DEB4F" hidden="1">#REF!</definedName>
    <definedName name="BExAYJQ9G4ZXJFPWD4VIWQU6WUFT" localSheetId="20" hidden="1">#REF!</definedName>
    <definedName name="BExAYJQ9G4ZXJFPWD4VIWQU6WUFT" hidden="1">#REF!</definedName>
    <definedName name="BExAYKXAUWGDOPG952TEJ2UKZKWN" localSheetId="20" hidden="1">#REF!</definedName>
    <definedName name="BExAYKXAUWGDOPG952TEJ2UKZKWN" hidden="1">#REF!</definedName>
    <definedName name="BExAYP9TDTI2MBP6EYE0H39CPMXN" localSheetId="20" hidden="1">#REF!</definedName>
    <definedName name="BExAYP9TDTI2MBP6EYE0H39CPMXN" hidden="1">#REF!</definedName>
    <definedName name="BExAYPPWJPWDKU59O051WMGB7O0J" localSheetId="20" hidden="1">#REF!</definedName>
    <definedName name="BExAYPPWJPWDKU59O051WMGB7O0J" hidden="1">#REF!</definedName>
    <definedName name="BExAYR2JZCJBUH6F1LZC2A7JIVRJ" localSheetId="20" hidden="1">#REF!</definedName>
    <definedName name="BExAYR2JZCJBUH6F1LZC2A7JIVRJ" hidden="1">#REF!</definedName>
    <definedName name="BExAYTGVRD3DLKO75RFPMBKCIWB8" localSheetId="20" hidden="1">#REF!</definedName>
    <definedName name="BExAYTGVRD3DLKO75RFPMBKCIWB8" hidden="1">#REF!</definedName>
    <definedName name="BExAYUYTMF7YSRG951CIIWKZM0T5" localSheetId="20" hidden="1">#REF!</definedName>
    <definedName name="BExAYUYTMF7YSRG951CIIWKZM0T5" hidden="1">#REF!</definedName>
    <definedName name="BExAYY9H9COOT46HJLPVDLTO12UL" localSheetId="20" hidden="1">#REF!</definedName>
    <definedName name="BExAYY9H9COOT46HJLPVDLTO12UL" hidden="1">#REF!</definedName>
    <definedName name="BExAZCNEGB4JYHC8CZ51KTN890US" localSheetId="20" hidden="1">#REF!</definedName>
    <definedName name="BExAZCNEGB4JYHC8CZ51KTN890US" hidden="1">#REF!</definedName>
    <definedName name="BExAZFCI302YFYRDJYQDWQQL0Q0O" localSheetId="20" hidden="1">#REF!</definedName>
    <definedName name="BExAZFCI302YFYRDJYQDWQQL0Q0O" hidden="1">#REF!</definedName>
    <definedName name="BExAZLHLST9OP89R1HJMC1POQG8H" localSheetId="20" hidden="1">#REF!</definedName>
    <definedName name="BExAZLHLST9OP89R1HJMC1POQG8H" hidden="1">#REF!</definedName>
    <definedName name="BExAZMDYMIAA7RX1BMCKU1VLBRGY" localSheetId="20" hidden="1">#REF!</definedName>
    <definedName name="BExAZMDYMIAA7RX1BMCKU1VLBRGY" hidden="1">#REF!</definedName>
    <definedName name="BExAZNL6BHI8DCQWXOX4I2P839UX" localSheetId="20" hidden="1">#REF!</definedName>
    <definedName name="BExAZNL6BHI8DCQWXOX4I2P839UX" hidden="1">#REF!</definedName>
    <definedName name="BExAZRMWSONMCG9KDUM4KAQ7BONM" localSheetId="20" hidden="1">#REF!</definedName>
    <definedName name="BExAZRMWSONMCG9KDUM4KAQ7BONM" hidden="1">#REF!</definedName>
    <definedName name="BExAZTFG4SJRG4TW6JXRF7N08JFI" localSheetId="20" hidden="1">#REF!</definedName>
    <definedName name="BExAZTFG4SJRG4TW6JXRF7N08JFI" hidden="1">#REF!</definedName>
    <definedName name="BExAZUS4A8OHDZK0MWAOCCCKTH73" localSheetId="20" hidden="1">#REF!</definedName>
    <definedName name="BExAZUS4A8OHDZK0MWAOCCCKTH73" hidden="1">#REF!</definedName>
    <definedName name="BExAZX6FECVK3E07KXM2XPYKGM6U" localSheetId="20" hidden="1">#REF!</definedName>
    <definedName name="BExAZX6FECVK3E07KXM2XPYKGM6U" hidden="1">#REF!</definedName>
    <definedName name="BExAZXXGBA3DZ26LBRJCSRIMDYY6" localSheetId="20" hidden="1">'[38]10.08.5 - 2008 Capital - TDBU'!#REF!</definedName>
    <definedName name="BExAZXXGBA3DZ26LBRJCSRIMDYY6" hidden="1">'[38]10.08.5 - 2008 Capital - TDBU'!#REF!</definedName>
    <definedName name="BExB012NJ8GASTNNPBRRFTLHIOC9" localSheetId="15" hidden="1">#REF!</definedName>
    <definedName name="BExB012NJ8GASTNNPBRRFTLHIOC9" localSheetId="16" hidden="1">#REF!</definedName>
    <definedName name="BExB012NJ8GASTNNPBRRFTLHIOC9" localSheetId="20" hidden="1">#REF!</definedName>
    <definedName name="BExB012NJ8GASTNNPBRRFTLHIOC9" hidden="1">#REF!</definedName>
    <definedName name="BExB072HHXVMUC0VYNGG48GRSH5Q" localSheetId="20" hidden="1">#REF!</definedName>
    <definedName name="BExB072HHXVMUC0VYNGG48GRSH5Q" hidden="1">#REF!</definedName>
    <definedName name="BExB0FRDEYDEUEAB1W8KD6D965XA" localSheetId="20" hidden="1">#REF!</definedName>
    <definedName name="BExB0FRDEYDEUEAB1W8KD6D965XA" hidden="1">#REF!</definedName>
    <definedName name="BExB0KPCN7YJORQAYUCF4YKIKPMC" localSheetId="20" hidden="1">#REF!</definedName>
    <definedName name="BExB0KPCN7YJORQAYUCF4YKIKPMC" hidden="1">#REF!</definedName>
    <definedName name="BExB0WE4PI3NOBXXVO9CTEN4DIU2" localSheetId="20" hidden="1">#REF!</definedName>
    <definedName name="BExB0WE4PI3NOBXXVO9CTEN4DIU2" hidden="1">#REF!</definedName>
    <definedName name="BExB0ZJIGMTDV9JC5IILPRZ5BXNJ" localSheetId="20" hidden="1">#REF!</definedName>
    <definedName name="BExB0ZJIGMTDV9JC5IILPRZ5BXNJ" hidden="1">#REF!</definedName>
    <definedName name="BExB10QNIVITUYS55OAEKK3VLJFE" localSheetId="20" hidden="1">#REF!</definedName>
    <definedName name="BExB10QNIVITUYS55OAEKK3VLJFE" hidden="1">#REF!</definedName>
    <definedName name="BExB14HG3PSHTJ4S9G0Y803UWLWP" localSheetId="20" hidden="1">#REF!</definedName>
    <definedName name="BExB14HG3PSHTJ4S9G0Y803UWLWP" hidden="1">#REF!</definedName>
    <definedName name="BExB15ZDRY4CIJ911DONP0KCY9KU" localSheetId="20" hidden="1">#REF!</definedName>
    <definedName name="BExB15ZDRY4CIJ911DONP0KCY9KU" hidden="1">#REF!</definedName>
    <definedName name="BExB16VQY0O0RLZYJFU3OFEONVTE" localSheetId="20" hidden="1">#REF!</definedName>
    <definedName name="BExB16VQY0O0RLZYJFU3OFEONVTE" hidden="1">#REF!</definedName>
    <definedName name="BExB1C4HDPDZBISSQ3JREULJJZ7K" localSheetId="20" hidden="1">#REF!</definedName>
    <definedName name="BExB1C4HDPDZBISSQ3JREULJJZ7K" hidden="1">#REF!</definedName>
    <definedName name="BExB1FKNY2UO4W5FUGFHJOA2WFGG" localSheetId="20" hidden="1">#REF!</definedName>
    <definedName name="BExB1FKNY2UO4W5FUGFHJOA2WFGG" hidden="1">#REF!</definedName>
    <definedName name="BExB1GMD0PIDGTFBGQOPRWQSP9I4" localSheetId="20" hidden="1">#REF!</definedName>
    <definedName name="BExB1GMD0PIDGTFBGQOPRWQSP9I4" hidden="1">#REF!</definedName>
    <definedName name="BExB1Q29OO6LNFNT1EQLA3KYE7MX" localSheetId="20" hidden="1">#REF!</definedName>
    <definedName name="BExB1Q29OO6LNFNT1EQLA3KYE7MX" hidden="1">#REF!</definedName>
    <definedName name="BExB1TNRV5EBWZEHYLHI76T0FVA7" localSheetId="20" hidden="1">#REF!</definedName>
    <definedName name="BExB1TNRV5EBWZEHYLHI76T0FVA7" hidden="1">#REF!</definedName>
    <definedName name="BExB1WI6M8I0EEP1ANUQZCFY24EV" localSheetId="20" hidden="1">#REF!</definedName>
    <definedName name="BExB1WI6M8I0EEP1ANUQZCFY24EV" hidden="1">#REF!</definedName>
    <definedName name="BExB203OWC9QZA3BYOKQ18L4FUJE" localSheetId="20" hidden="1">#REF!</definedName>
    <definedName name="BExB203OWC9QZA3BYOKQ18L4FUJE" hidden="1">#REF!</definedName>
    <definedName name="BExB215I6XJMAXZ5JDHT0R7K0CS1" localSheetId="20" hidden="1">#REF!</definedName>
    <definedName name="BExB215I6XJMAXZ5JDHT0R7K0CS1" hidden="1">#REF!</definedName>
    <definedName name="BExB2CJHTU7C591BR4WRL5L2F2K6" localSheetId="20" hidden="1">#REF!</definedName>
    <definedName name="BExB2CJHTU7C591BR4WRL5L2F2K6" hidden="1">#REF!</definedName>
    <definedName name="BExB2K1AV4PGNS1O6C7D7AO411AX" localSheetId="20" hidden="1">#REF!</definedName>
    <definedName name="BExB2K1AV4PGNS1O6C7D7AO411AX" hidden="1">#REF!</definedName>
    <definedName name="BExB2O2UYHKI324YE324E1N7FVIB" localSheetId="20" hidden="1">#REF!</definedName>
    <definedName name="BExB2O2UYHKI324YE324E1N7FVIB" hidden="1">#REF!</definedName>
    <definedName name="BExB2Q0VJ0MU2URO3JOVUAVHEI3V" localSheetId="20" hidden="1">#REF!</definedName>
    <definedName name="BExB2Q0VJ0MU2URO3JOVUAVHEI3V" hidden="1">#REF!</definedName>
    <definedName name="BExB2TBL7K5D70TOLTXT6SAAJQS9" localSheetId="20" hidden="1">#REF!</definedName>
    <definedName name="BExB2TBL7K5D70TOLTXT6SAAJQS9" hidden="1">#REF!</definedName>
    <definedName name="BExB2WRQ815O1VGMGAGDGQHTTUIN" localSheetId="20" hidden="1">#REF!</definedName>
    <definedName name="BExB2WRQ815O1VGMGAGDGQHTTUIN" hidden="1">#REF!</definedName>
    <definedName name="BExB30IP1DNKNQ6PZ5ERUGR5MK4Z" localSheetId="20" hidden="1">#REF!</definedName>
    <definedName name="BExB30IP1DNKNQ6PZ5ERUGR5MK4Z" hidden="1">#REF!</definedName>
    <definedName name="BExB30YTF8EK04RZ190LBP9R44TW" localSheetId="20" hidden="1">#REF!</definedName>
    <definedName name="BExB30YTF8EK04RZ190LBP9R44TW" hidden="1">#REF!</definedName>
    <definedName name="BExB31PVM8TBKT8GI5VYI71JWZ0D" localSheetId="20" hidden="1">#REF!</definedName>
    <definedName name="BExB31PVM8TBKT8GI5VYI71JWZ0D" hidden="1">#REF!</definedName>
    <definedName name="BExB37UZ7KOLOBAPDS5EM5MJTPFJ" localSheetId="20" hidden="1">#REF!</definedName>
    <definedName name="BExB37UZ7KOLOBAPDS5EM5MJTPFJ" hidden="1">#REF!</definedName>
    <definedName name="BExB3S8NRKFKQZGZDLCF1J5OPNQX" localSheetId="20" hidden="1">#REF!</definedName>
    <definedName name="BExB3S8NRKFKQZGZDLCF1J5OPNQX" hidden="1">#REF!</definedName>
    <definedName name="BExB4016U17W1T4ZWNG5SJCGWE9P" localSheetId="20" hidden="1">#REF!</definedName>
    <definedName name="BExB4016U17W1T4ZWNG5SJCGWE9P" hidden="1">#REF!</definedName>
    <definedName name="BExB442RX0T3L6HUL6X5T21CENW6" localSheetId="20" hidden="1">#REF!</definedName>
    <definedName name="BExB442RX0T3L6HUL6X5T21CENW6" hidden="1">#REF!</definedName>
    <definedName name="BExB472MUJSUYK7SI8BX1ZGQL0NK" localSheetId="20" hidden="1">#REF!</definedName>
    <definedName name="BExB472MUJSUYK7SI8BX1ZGQL0NK" hidden="1">#REF!</definedName>
    <definedName name="BExB4ADD0L7417CII901XTFKXD1J" localSheetId="20" hidden="1">#REF!</definedName>
    <definedName name="BExB4ADD0L7417CII901XTFKXD1J" hidden="1">#REF!</definedName>
    <definedName name="BExB4DO1V1NL2AVK5YE1RSL5RYHL" localSheetId="20" hidden="1">#REF!</definedName>
    <definedName name="BExB4DO1V1NL2AVK5YE1RSL5RYHL" hidden="1">#REF!</definedName>
    <definedName name="BExB4DYU06HCGRIPBSWRCXK804UM" localSheetId="20" hidden="1">#REF!</definedName>
    <definedName name="BExB4DYU06HCGRIPBSWRCXK804UM" hidden="1">#REF!</definedName>
    <definedName name="BExB4XW9A16UWK9TUIA84W8X2ZEA" localSheetId="20" hidden="1">#REF!</definedName>
    <definedName name="BExB4XW9A16UWK9TUIA84W8X2ZEA" hidden="1">#REF!</definedName>
    <definedName name="BExB4Z3EZBGYYI33U0KQ8NEIH8PY" localSheetId="20" hidden="1">#REF!</definedName>
    <definedName name="BExB4Z3EZBGYYI33U0KQ8NEIH8PY" hidden="1">#REF!</definedName>
    <definedName name="BExB55368XW7UX657ZSPC6BFE92S" localSheetId="20" hidden="1">#REF!</definedName>
    <definedName name="BExB55368XW7UX657ZSPC6BFE92S" hidden="1">#REF!</definedName>
    <definedName name="BExB57MZEPL2SA2ONPK66YFLZWJU" localSheetId="20" hidden="1">#REF!</definedName>
    <definedName name="BExB57MZEPL2SA2ONPK66YFLZWJU" hidden="1">#REF!</definedName>
    <definedName name="BExB5833OAOJ22VK1YK47FHUSVK2" localSheetId="20" hidden="1">#REF!</definedName>
    <definedName name="BExB5833OAOJ22VK1YK47FHUSVK2" hidden="1">#REF!</definedName>
    <definedName name="BExB58JDIHS42JZT9DJJMKA8QFCO" localSheetId="20" hidden="1">#REF!</definedName>
    <definedName name="BExB58JDIHS42JZT9DJJMKA8QFCO" hidden="1">#REF!</definedName>
    <definedName name="BExB58U5FQC5JWV9CGC83HLLZUZI" localSheetId="20" hidden="1">#REF!</definedName>
    <definedName name="BExB58U5FQC5JWV9CGC83HLLZUZI" hidden="1">#REF!</definedName>
    <definedName name="BExB5EDO9XUKHF74X3HAU2WPPHZH" localSheetId="20" hidden="1">#REF!</definedName>
    <definedName name="BExB5EDO9XUKHF74X3HAU2WPPHZH" hidden="1">#REF!</definedName>
    <definedName name="BExB5G6EH68AYEP1UT0GHUEL3SLN" localSheetId="20" hidden="1">#REF!</definedName>
    <definedName name="BExB5G6EH68AYEP1UT0GHUEL3SLN" hidden="1">#REF!</definedName>
    <definedName name="BExB5IFAFRG56RCEOOXLOQHCNSLB" localSheetId="20" hidden="1">#REF!</definedName>
    <definedName name="BExB5IFAFRG56RCEOOXLOQHCNSLB" hidden="1">#REF!</definedName>
    <definedName name="BExB5QYVEZWFE5DQVHAM760EV05X" localSheetId="20" hidden="1">#REF!</definedName>
    <definedName name="BExB5QYVEZWFE5DQVHAM760EV05X" hidden="1">#REF!</definedName>
    <definedName name="BExB5U9IRH14EMOE0YGIE3WIVLFS" localSheetId="20" hidden="1">#REF!</definedName>
    <definedName name="BExB5U9IRH14EMOE0YGIE3WIVLFS" hidden="1">#REF!</definedName>
    <definedName name="BExB5VWYMOV6BAIH7XUBBVPU7MMD" localSheetId="20" hidden="1">#REF!</definedName>
    <definedName name="BExB5VWYMOV6BAIH7XUBBVPU7MMD" hidden="1">#REF!</definedName>
    <definedName name="BExB610DZWIJP1B72U9QM42COH2B" localSheetId="20" hidden="1">#REF!</definedName>
    <definedName name="BExB610DZWIJP1B72U9QM42COH2B" hidden="1">#REF!</definedName>
    <definedName name="BExB6C3FUAKK9ML5T767NMWGA9YB" localSheetId="20" hidden="1">#REF!</definedName>
    <definedName name="BExB6C3FUAKK9ML5T767NMWGA9YB" hidden="1">#REF!</definedName>
    <definedName name="BExB6C8X6JYRLKZKK17VE3QUNL3D" localSheetId="20" hidden="1">#REF!</definedName>
    <definedName name="BExB6C8X6JYRLKZKK17VE3QUNL3D" hidden="1">#REF!</definedName>
    <definedName name="BExB6HN3QRFPXM71MDUK21BKM7PF" localSheetId="20" hidden="1">#REF!</definedName>
    <definedName name="BExB6HN3QRFPXM71MDUK21BKM7PF" hidden="1">#REF!</definedName>
    <definedName name="BExB6IZMHCZ3LB7N73KD90YB1HBZ" localSheetId="20" hidden="1">#REF!</definedName>
    <definedName name="BExB6IZMHCZ3LB7N73KD90YB1HBZ" hidden="1">#REF!</definedName>
    <definedName name="BExB6RZAN4TW4BIS93TJP3MTSF2V" localSheetId="20" hidden="1">#REF!</definedName>
    <definedName name="BExB6RZAN4TW4BIS93TJP3MTSF2V" hidden="1">#REF!</definedName>
    <definedName name="BExB6SKVVBQPHZ4Y692I5525S418" localSheetId="20" hidden="1">#REF!</definedName>
    <definedName name="BExB6SKVVBQPHZ4Y692I5525S418" hidden="1">#REF!</definedName>
    <definedName name="BExB719SGNX4Y8NE6JEXC555K596" localSheetId="20" hidden="1">#REF!</definedName>
    <definedName name="BExB719SGNX4Y8NE6JEXC555K596" hidden="1">#REF!</definedName>
    <definedName name="BExB7265DCHKS7V2OWRBXCZTEIW9" localSheetId="20" hidden="1">#REF!</definedName>
    <definedName name="BExB7265DCHKS7V2OWRBXCZTEIW9" hidden="1">#REF!</definedName>
    <definedName name="BExB73DAG0L10ZK0L6HQWV9BISN7" localSheetId="20" hidden="1">#REF!</definedName>
    <definedName name="BExB73DAG0L10ZK0L6HQWV9BISN7" hidden="1">#REF!</definedName>
    <definedName name="BExB74PS5P9G0P09Y6DZSCX0FLTJ" localSheetId="20" hidden="1">#REF!</definedName>
    <definedName name="BExB74PS5P9G0P09Y6DZSCX0FLTJ" hidden="1">#REF!</definedName>
    <definedName name="BExB77KDAUB9VYWBDJP50RIW7Y73" localSheetId="20" hidden="1">#REF!</definedName>
    <definedName name="BExB77KDAUB9VYWBDJP50RIW7Y73" hidden="1">#REF!</definedName>
    <definedName name="BExB78RH79J0MIF7H8CAZ0CFE88Q" localSheetId="20" hidden="1">#REF!</definedName>
    <definedName name="BExB78RH79J0MIF7H8CAZ0CFE88Q" hidden="1">#REF!</definedName>
    <definedName name="BExB7ELT09HGDVO5BJC1ZY9D09GZ" localSheetId="20" hidden="1">#REF!</definedName>
    <definedName name="BExB7ELT09HGDVO5BJC1ZY9D09GZ" hidden="1">#REF!</definedName>
    <definedName name="BExB7PZU5KVXW0MOS9BQNVV0U4WD" localSheetId="20" hidden="1">#REF!</definedName>
    <definedName name="BExB7PZU5KVXW0MOS9BQNVV0U4WD" hidden="1">#REF!</definedName>
    <definedName name="BExB7R1PBLH2KKT4OJI4ESYMV3B3" localSheetId="20" hidden="1">#REF!</definedName>
    <definedName name="BExB7R1PBLH2KKT4OJI4ESYMV3B3" hidden="1">#REF!</definedName>
    <definedName name="BExB7SUFBKOZJWAZHJSNHTBMUZE4" localSheetId="20" hidden="1">#REF!</definedName>
    <definedName name="BExB7SUFBKOZJWAZHJSNHTBMUZE4" hidden="1">#REF!</definedName>
    <definedName name="BExB806PAXX70XUTA3ZI7OORD78R" localSheetId="20" hidden="1">#REF!</definedName>
    <definedName name="BExB806PAXX70XUTA3ZI7OORD78R" hidden="1">#REF!</definedName>
    <definedName name="BExB88FBDZ0MSRCK5MB3E06QBO1N" localSheetId="20" hidden="1">#REF!</definedName>
    <definedName name="BExB88FBDZ0MSRCK5MB3E06QBO1N" hidden="1">#REF!</definedName>
    <definedName name="BExB89H5ZI7PL41B4CQN2OSUPK7A" localSheetId="20" hidden="1">#REF!</definedName>
    <definedName name="BExB89H5ZI7PL41B4CQN2OSUPK7A" hidden="1">#REF!</definedName>
    <definedName name="BExB8HF4UBVZKQCSRFRUQL2EE6VL" localSheetId="20" hidden="1">#REF!</definedName>
    <definedName name="BExB8HF4UBVZKQCSRFRUQL2EE6VL" hidden="1">#REF!</definedName>
    <definedName name="BExB8HKHKZ1ORJZUYGG2M4VSCC39" localSheetId="20" hidden="1">#REF!</definedName>
    <definedName name="BExB8HKHKZ1ORJZUYGG2M4VSCC39" hidden="1">#REF!</definedName>
    <definedName name="BExB8PIBXT2X11LCOX7RIO57ITDV" localSheetId="20" hidden="1">#REF!</definedName>
    <definedName name="BExB8PIBXT2X11LCOX7RIO57ITDV" hidden="1">#REF!</definedName>
    <definedName name="BExB8QPH8DC5BESEVPSMBCWVN6PO" localSheetId="20" hidden="1">#REF!</definedName>
    <definedName name="BExB8QPH8DC5BESEVPSMBCWVN6PO" hidden="1">#REF!</definedName>
    <definedName name="BExB8U5N0D85YR8APKN3PPKG0FWP" localSheetId="20" hidden="1">#REF!</definedName>
    <definedName name="BExB8U5N0D85YR8APKN3PPKG0FWP" hidden="1">#REF!</definedName>
    <definedName name="BExB91I17P2IIQ85B7OF9X01BBL0" localSheetId="20" hidden="1">#REF!</definedName>
    <definedName name="BExB91I17P2IIQ85B7OF9X01BBL0" hidden="1">#REF!</definedName>
    <definedName name="BExB9DHI5I2TJ2LXYPM98EE81L27" localSheetId="20" hidden="1">#REF!</definedName>
    <definedName name="BExB9DHI5I2TJ2LXYPM98EE81L27" hidden="1">#REF!</definedName>
    <definedName name="BExB9IVQ5K36625BTKIXXB3R8NKE" localSheetId="20" hidden="1">#REF!</definedName>
    <definedName name="BExB9IVQ5K36625BTKIXXB3R8NKE" hidden="1">#REF!</definedName>
    <definedName name="BExB9Q2MZZHBGW8QQKVEYIMJBPIE" localSheetId="20" hidden="1">#REF!</definedName>
    <definedName name="BExB9Q2MZZHBGW8QQKVEYIMJBPIE" hidden="1">#REF!</definedName>
    <definedName name="BExB9UVAU97XX5IFJV05VHTKS512" localSheetId="20" hidden="1">#REF!</definedName>
    <definedName name="BExB9UVAU97XX5IFJV05VHTKS512" hidden="1">#REF!</definedName>
    <definedName name="BExB9WTBZ1ZNJ5PYDE80FJ9A5MQS" localSheetId="20" hidden="1">#REF!</definedName>
    <definedName name="BExB9WTBZ1ZNJ5PYDE80FJ9A5MQS" hidden="1">#REF!</definedName>
    <definedName name="BExBA1GON0EZRJ20UYPILAPLNQWM" localSheetId="20" hidden="1">#REF!</definedName>
    <definedName name="BExBA1GON0EZRJ20UYPILAPLNQWM" hidden="1">#REF!</definedName>
    <definedName name="BExBA1RFNTGEN0TO2IRNXT6F3QKR" localSheetId="20" hidden="1">#REF!</definedName>
    <definedName name="BExBA1RFNTGEN0TO2IRNXT6F3QKR" hidden="1">#REF!</definedName>
    <definedName name="BExBA69ASGYRZW1G1DYIS9QRRTBN" localSheetId="20" hidden="1">#REF!</definedName>
    <definedName name="BExBA69ASGYRZW1G1DYIS9QRRTBN" hidden="1">#REF!</definedName>
    <definedName name="BExBA6K42582A14WFFWQ3Q8QQWB6" localSheetId="20" hidden="1">#REF!</definedName>
    <definedName name="BExBA6K42582A14WFFWQ3Q8QQWB6" hidden="1">#REF!</definedName>
    <definedName name="BExBA6PL9AA5J2L0KPL378AA2VZ4" localSheetId="20" hidden="1">#REF!</definedName>
    <definedName name="BExBA6PL9AA5J2L0KPL378AA2VZ4" hidden="1">#REF!</definedName>
    <definedName name="BExBA8I5D4R8R2PYQ1K16TWGTOEP" localSheetId="20" hidden="1">#REF!</definedName>
    <definedName name="BExBA8I5D4R8R2PYQ1K16TWGTOEP" hidden="1">#REF!</definedName>
    <definedName name="BExBA8NMWNC4ESE854DLVFP3K8UR" localSheetId="20" hidden="1">#REF!</definedName>
    <definedName name="BExBA8NMWNC4ESE854DLVFP3K8UR" hidden="1">#REF!</definedName>
    <definedName name="BExBA93PE0DGUUTA7LLSIGBIXWE5" localSheetId="20" hidden="1">#REF!</definedName>
    <definedName name="BExBA93PE0DGUUTA7LLSIGBIXWE5" hidden="1">#REF!</definedName>
    <definedName name="BExBAAWGR2BBXC8GXEYNQ9TYNUN8" localSheetId="20" hidden="1">#REF!</definedName>
    <definedName name="BExBAAWGR2BBXC8GXEYNQ9TYNUN8" hidden="1">#REF!</definedName>
    <definedName name="BExBAG5D16CADDC0MWOKCY7JZQO0" localSheetId="20" hidden="1">#REF!</definedName>
    <definedName name="BExBAG5D16CADDC0MWOKCY7JZQO0" hidden="1">#REF!</definedName>
    <definedName name="BExBAHY3NCFFKJ0L0RWLV9Q2XEA7" localSheetId="20" hidden="1">#REF!</definedName>
    <definedName name="BExBAHY3NCFFKJ0L0RWLV9Q2XEA7" hidden="1">#REF!</definedName>
    <definedName name="BExBAI8X0FKDQJ6YZJQDTTG4ZCWY" localSheetId="20" hidden="1">#REF!</definedName>
    <definedName name="BExBAI8X0FKDQJ6YZJQDTTG4ZCWY" hidden="1">#REF!</definedName>
    <definedName name="BExBAKN7XIBAXCF9PCNVS038PCQO" localSheetId="20" hidden="1">#REF!</definedName>
    <definedName name="BExBAKN7XIBAXCF9PCNVS038PCQO" hidden="1">#REF!</definedName>
    <definedName name="BExBAKXZ7PBW3DDKKA5MWC1ZUC7O" localSheetId="20" hidden="1">#REF!</definedName>
    <definedName name="BExBAKXZ7PBW3DDKKA5MWC1ZUC7O" hidden="1">#REF!</definedName>
    <definedName name="BExBAO8NLXZXHO6KCIECSFCH3RR0" localSheetId="20" hidden="1">#REF!</definedName>
    <definedName name="BExBAO8NLXZXHO6KCIECSFCH3RR0" hidden="1">#REF!</definedName>
    <definedName name="BExBAOOT1KBSIEISN1ADL4RMY879" localSheetId="20" hidden="1">#REF!</definedName>
    <definedName name="BExBAOOT1KBSIEISN1ADL4RMY879" hidden="1">#REF!</definedName>
    <definedName name="BExBAVKX8Q09370X1GCZWJ4E91YJ" localSheetId="20" hidden="1">#REF!</definedName>
    <definedName name="BExBAVKX8Q09370X1GCZWJ4E91YJ" hidden="1">#REF!</definedName>
    <definedName name="BExBAX2X2ENJYO4QTR5VAIQ86L7B" localSheetId="20" hidden="1">#REF!</definedName>
    <definedName name="BExBAX2X2ENJYO4QTR5VAIQ86L7B" hidden="1">#REF!</definedName>
    <definedName name="BExBAZ13D3F1DVJQ6YJ8JGUYEYJE" localSheetId="20" hidden="1">#REF!</definedName>
    <definedName name="BExBAZ13D3F1DVJQ6YJ8JGUYEYJE" hidden="1">#REF!</definedName>
    <definedName name="BExBBTG649R9I0CT042JLL8LXV18" localSheetId="20" hidden="1">#REF!</definedName>
    <definedName name="BExBBTG649R9I0CT042JLL8LXV18" hidden="1">#REF!</definedName>
    <definedName name="BExBBUCJQRR74Q7GPWDEZXYK2KJL" localSheetId="20" hidden="1">#REF!</definedName>
    <definedName name="BExBBUCJQRR74Q7GPWDEZXYK2KJL" hidden="1">#REF!</definedName>
    <definedName name="BExBBV8XVMD9CKZY711T0BN7H3PM" localSheetId="20" hidden="1">#REF!</definedName>
    <definedName name="BExBBV8XVMD9CKZY711T0BN7H3PM" hidden="1">#REF!</definedName>
    <definedName name="BExBC5L31H53WLFYF54SQM4A7EU4" localSheetId="20" hidden="1">#REF!</definedName>
    <definedName name="BExBC5L31H53WLFYF54SQM4A7EU4" hidden="1">#REF!</definedName>
    <definedName name="BExBC78HXWXHO3XAB6E8NVTBGLJS" localSheetId="20" hidden="1">#REF!</definedName>
    <definedName name="BExBC78HXWXHO3XAB6E8NVTBGLJS" hidden="1">#REF!</definedName>
    <definedName name="BExBCATYYZZEDHH6VTB2O2HIRMIR" localSheetId="20" hidden="1">#REF!</definedName>
    <definedName name="BExBCATYYZZEDHH6VTB2O2HIRMIR" hidden="1">#REF!</definedName>
    <definedName name="BExBCKKJTIRKC1RZJRTK65HHLX4W" localSheetId="20" hidden="1">#REF!</definedName>
    <definedName name="BExBCKKJTIRKC1RZJRTK65HHLX4W" hidden="1">#REF!</definedName>
    <definedName name="BExBCLMEPAN3XXX174TU8SS0627Q" localSheetId="20" hidden="1">#REF!</definedName>
    <definedName name="BExBCLMEPAN3XXX174TU8SS0627Q" hidden="1">#REF!</definedName>
    <definedName name="BExBCRBEYR2KZ8FAQFZ2NHY13WIY" localSheetId="20" hidden="1">#REF!</definedName>
    <definedName name="BExBCRBEYR2KZ8FAQFZ2NHY13WIY" hidden="1">#REF!</definedName>
    <definedName name="BExBD05M2XLZ3FDJC1J5FM7IICZB" localSheetId="20" hidden="1">'[38]10.08.2 - 2008 Expense'!#REF!</definedName>
    <definedName name="BExBD05M2XLZ3FDJC1J5FM7IICZB" hidden="1">'[38]10.08.2 - 2008 Expense'!#REF!</definedName>
    <definedName name="BExBD4I559NXSV6J07Q343TKYMVJ" localSheetId="15" hidden="1">#REF!</definedName>
    <definedName name="BExBD4I559NXSV6J07Q343TKYMVJ" localSheetId="16" hidden="1">#REF!</definedName>
    <definedName name="BExBD4I559NXSV6J07Q343TKYMVJ" localSheetId="20" hidden="1">#REF!</definedName>
    <definedName name="BExBD4I559NXSV6J07Q343TKYMVJ" hidden="1">#REF!</definedName>
    <definedName name="BExBDBZQLTX3OGFYGULQFK5WEZU5" localSheetId="20" hidden="1">#REF!</definedName>
    <definedName name="BExBDBZQLTX3OGFYGULQFK5WEZU5" hidden="1">#REF!</definedName>
    <definedName name="BExBDJS9TUEU8Z84IV59E5V4T8K6" localSheetId="20" hidden="1">#REF!</definedName>
    <definedName name="BExBDJS9TUEU8Z84IV59E5V4T8K6" hidden="1">#REF!</definedName>
    <definedName name="BExBDKOMSVH4XMH52CFJ3F028I9R" localSheetId="20" hidden="1">#REF!</definedName>
    <definedName name="BExBDKOMSVH4XMH52CFJ3F028I9R" hidden="1">#REF!</definedName>
    <definedName name="BExBDSRXVZQ0W5WXQMP5XD00GRRL" localSheetId="20" hidden="1">#REF!</definedName>
    <definedName name="BExBDSRXVZQ0W5WXQMP5XD00GRRL" hidden="1">#REF!</definedName>
    <definedName name="BExBDT87JCZT4EZQQ1HEUN7ZAMNT" localSheetId="20" hidden="1">#REF!</definedName>
    <definedName name="BExBDT87JCZT4EZQQ1HEUN7ZAMNT" hidden="1">#REF!</definedName>
    <definedName name="BExBDUVGK3E1J4JY9ZYTS7V14BLY" localSheetId="20" hidden="1">#REF!</definedName>
    <definedName name="BExBDUVGK3E1J4JY9ZYTS7V14BLY" hidden="1">#REF!</definedName>
    <definedName name="BExBDVH3DOL955WK34ZBD4XWH6OI" localSheetId="20" hidden="1">'[38]10.08.5 - 2008 Capital - TDBU'!#REF!</definedName>
    <definedName name="BExBDVH3DOL955WK34ZBD4XWH6OI" hidden="1">'[38]10.08.5 - 2008 Capital - TDBU'!#REF!</definedName>
    <definedName name="BExBE162OSBKD30I7T1DKKPT3I9I" localSheetId="15" hidden="1">#REF!</definedName>
    <definedName name="BExBE162OSBKD30I7T1DKKPT3I9I" localSheetId="16" hidden="1">#REF!</definedName>
    <definedName name="BExBE162OSBKD30I7T1DKKPT3I9I" localSheetId="20" hidden="1">#REF!</definedName>
    <definedName name="BExBE162OSBKD30I7T1DKKPT3I9I" hidden="1">#REF!</definedName>
    <definedName name="BExBE5YPUY1T7N7DHMMIGGXK8TMP" localSheetId="20" hidden="1">#REF!</definedName>
    <definedName name="BExBE5YPUY1T7N7DHMMIGGXK8TMP" hidden="1">#REF!</definedName>
    <definedName name="BExBE827OBMEXJZS59TKFQS6FC0Z" localSheetId="20" hidden="1">#REF!</definedName>
    <definedName name="BExBE827OBMEXJZS59TKFQS6FC0Z" hidden="1">#REF!</definedName>
    <definedName name="BExBEC9ATLQZF86W1M3APSM4HEOH" localSheetId="20" hidden="1">#REF!</definedName>
    <definedName name="BExBEC9ATLQZF86W1M3APSM4HEOH" hidden="1">#REF!</definedName>
    <definedName name="BExBEHCOWXYAJ0G8WL2C0YAEM0A3" localSheetId="20" hidden="1">#REF!</definedName>
    <definedName name="BExBEHCOWXYAJ0G8WL2C0YAEM0A3" hidden="1">#REF!</definedName>
    <definedName name="BExBEIUMJGTX2SBNU3E8Z2XPR27P" localSheetId="20" hidden="1">#REF!</definedName>
    <definedName name="BExBEIUMJGTX2SBNU3E8Z2XPR27P" hidden="1">#REF!</definedName>
    <definedName name="BExBEYFQJE9YK12A6JBMRFKEC7RN" localSheetId="20" hidden="1">#REF!</definedName>
    <definedName name="BExBEYFQJE9YK12A6JBMRFKEC7RN" hidden="1">#REF!</definedName>
    <definedName name="BExBG1ED81J2O4A2S5F5Y3BPHMCR" localSheetId="20" hidden="1">#REF!</definedName>
    <definedName name="BExBG1ED81J2O4A2S5F5Y3BPHMCR" hidden="1">#REF!</definedName>
    <definedName name="BExCRHX1OTQXWVM4RKG8IHHYCVFP" localSheetId="20" hidden="1">#REF!</definedName>
    <definedName name="BExCRHX1OTQXWVM4RKG8IHHYCVFP" hidden="1">#REF!</definedName>
    <definedName name="BExCRLIHS7466WFJ3RPIUGGXYESZ" localSheetId="20" hidden="1">#REF!</definedName>
    <definedName name="BExCRLIHS7466WFJ3RPIUGGXYESZ" hidden="1">#REF!</definedName>
    <definedName name="BExCS1EDDUEAEWHVYXHIP9I1WCJH" localSheetId="20" hidden="1">#REF!</definedName>
    <definedName name="BExCS1EDDUEAEWHVYXHIP9I1WCJH" hidden="1">#REF!</definedName>
    <definedName name="BExCS6SLRCBH006GNRE27HFRHP40" localSheetId="20" hidden="1">#REF!</definedName>
    <definedName name="BExCS6SLRCBH006GNRE27HFRHP40" hidden="1">#REF!</definedName>
    <definedName name="BExCS7ZPMHFJ4UJDAL8CQOLSZ13B" localSheetId="20" hidden="1">#REF!</definedName>
    <definedName name="BExCS7ZPMHFJ4UJDAL8CQOLSZ13B" hidden="1">#REF!</definedName>
    <definedName name="BExCS8W4NJUZH9S1CYB6XSDLEPBW" localSheetId="20" hidden="1">#REF!</definedName>
    <definedName name="BExCS8W4NJUZH9S1CYB6XSDLEPBW" hidden="1">#REF!</definedName>
    <definedName name="BExCSAE1M6G20R41J0Y24YNN0YC1" localSheetId="20" hidden="1">#REF!</definedName>
    <definedName name="BExCSAE1M6G20R41J0Y24YNN0YC1" hidden="1">#REF!</definedName>
    <definedName name="BExCSAOUZOYKHN7HV511TO8VDJ02" localSheetId="20" hidden="1">#REF!</definedName>
    <definedName name="BExCSAOUZOYKHN7HV511TO8VDJ02" hidden="1">#REF!</definedName>
    <definedName name="BExCSGOMZRUX4W3XE4LX5XXH5F2L" localSheetId="20" hidden="1">#REF!</definedName>
    <definedName name="BExCSGOMZRUX4W3XE4LX5XXH5F2L" hidden="1">#REF!</definedName>
    <definedName name="BExCSMOFTXSUEC1T46LR1UPYRCX5" localSheetId="20" hidden="1">#REF!</definedName>
    <definedName name="BExCSMOFTXSUEC1T46LR1UPYRCX5" hidden="1">#REF!</definedName>
    <definedName name="BExCSMTPZZ9RQU93PT4098LW6KAZ" localSheetId="20" hidden="1">#REF!</definedName>
    <definedName name="BExCSMTPZZ9RQU93PT4098LW6KAZ" hidden="1">#REF!</definedName>
    <definedName name="BExCSSDG3TM6TPKS19E9QYJEELZ6" localSheetId="20" hidden="1">#REF!</definedName>
    <definedName name="BExCSSDG3TM6TPKS19E9QYJEELZ6" hidden="1">#REF!</definedName>
    <definedName name="BExCSZV7U67UWXL2HKJNM5W1E4OO" localSheetId="20" hidden="1">#REF!</definedName>
    <definedName name="BExCSZV7U67UWXL2HKJNM5W1E4OO" hidden="1">#REF!</definedName>
    <definedName name="BExCT4NSDT61OCH04Y2QIFIOP75H" localSheetId="20" hidden="1">#REF!</definedName>
    <definedName name="BExCT4NSDT61OCH04Y2QIFIOP75H" hidden="1">#REF!</definedName>
    <definedName name="BExCTDNIGAFFV0FMRGUS25TGONCJ" localSheetId="20" hidden="1">#REF!</definedName>
    <definedName name="BExCTDNIGAFFV0FMRGUS25TGONCJ" hidden="1">#REF!</definedName>
    <definedName name="BExCTNE23PLYUM60ZCQ942C1KG81" localSheetId="20" hidden="1">#REF!</definedName>
    <definedName name="BExCTNE23PLYUM60ZCQ942C1KG81" hidden="1">#REF!</definedName>
    <definedName name="BExCTW8G3VCZ55S09HTUGXKB1P2M" localSheetId="20" hidden="1">#REF!</definedName>
    <definedName name="BExCTW8G3VCZ55S09HTUGXKB1P2M" hidden="1">#REF!</definedName>
    <definedName name="BExCTWJ9A4QCQ9OZN28V6HYAACMI" localSheetId="20" hidden="1">#REF!</definedName>
    <definedName name="BExCTWJ9A4QCQ9OZN28V6HYAACMI" hidden="1">#REF!</definedName>
    <definedName name="BExCTYS2KX0QANOLT8LGZ9WV3S3T" localSheetId="20" hidden="1">#REF!</definedName>
    <definedName name="BExCTYS2KX0QANOLT8LGZ9WV3S3T" hidden="1">#REF!</definedName>
    <definedName name="BExCTZZ9JNES4EDHW97NP0EGQALX" localSheetId="20" hidden="1">#REF!</definedName>
    <definedName name="BExCTZZ9JNES4EDHW97NP0EGQALX" hidden="1">#REF!</definedName>
    <definedName name="BExCU0A1V6NMZQ9ASYJ8QIVQ5UR2" localSheetId="20" hidden="1">#REF!</definedName>
    <definedName name="BExCU0A1V6NMZQ9ASYJ8QIVQ5UR2" hidden="1">#REF!</definedName>
    <definedName name="BExCU2834920JBHSPCRC4UF80OLL" localSheetId="20" hidden="1">#REF!</definedName>
    <definedName name="BExCU2834920JBHSPCRC4UF80OLL" hidden="1">#REF!</definedName>
    <definedName name="BExCU8O54I3P3WRYWY1CRP3S78QY" localSheetId="20" hidden="1">#REF!</definedName>
    <definedName name="BExCU8O54I3P3WRYWY1CRP3S78QY" hidden="1">#REF!</definedName>
    <definedName name="BExCUBILFA1EYYEOFEX37L275Z4P" localSheetId="20" hidden="1">#REF!</definedName>
    <definedName name="BExCUBILFA1EYYEOFEX37L275Z4P" hidden="1">#REF!</definedName>
    <definedName name="BExCUDRJO23YOKT8GPWOVQ4XEHF5" localSheetId="20" hidden="1">#REF!</definedName>
    <definedName name="BExCUDRJO23YOKT8GPWOVQ4XEHF5" hidden="1">#REF!</definedName>
    <definedName name="BExCUPAXFR16YMWL30ME3F3BSRDZ" localSheetId="20" hidden="1">#REF!</definedName>
    <definedName name="BExCUPAXFR16YMWL30ME3F3BSRDZ" hidden="1">#REF!</definedName>
    <definedName name="BExCUR94DHCE47PUUWEMT5QZOYR2" localSheetId="20" hidden="1">#REF!</definedName>
    <definedName name="BExCUR94DHCE47PUUWEMT5QZOYR2" hidden="1">#REF!</definedName>
    <definedName name="BExCUT768Y9WTBMX7GXYUGHWIXZD" localSheetId="20" hidden="1">'[38]10.08.2 - 2008 Expense'!#REF!</definedName>
    <definedName name="BExCUT768Y9WTBMX7GXYUGHWIXZD" hidden="1">'[38]10.08.2 - 2008 Expense'!#REF!</definedName>
    <definedName name="BExCUW1QXVMEP3B9SFPNEEWCG9I0" localSheetId="20" hidden="1">'[38]10.08.5 - 2008 Capital - TDBU'!#REF!</definedName>
    <definedName name="BExCUW1QXVMEP3B9SFPNEEWCG9I0" hidden="1">'[38]10.08.5 - 2008 Capital - TDBU'!#REF!</definedName>
    <definedName name="BExCUWN57J3KE1LMYFY8FAMDD57T" localSheetId="15" hidden="1">#REF!</definedName>
    <definedName name="BExCUWN57J3KE1LMYFY8FAMDD57T" localSheetId="16" hidden="1">#REF!</definedName>
    <definedName name="BExCUWN57J3KE1LMYFY8FAMDD57T" localSheetId="20" hidden="1">#REF!</definedName>
    <definedName name="BExCUWN57J3KE1LMYFY8FAMDD57T" hidden="1">#REF!</definedName>
    <definedName name="BExCV4VXZA9HAYPSLTWYK66MGS3Y" localSheetId="20" hidden="1">#REF!</definedName>
    <definedName name="BExCV4VXZA9HAYPSLTWYK66MGS3Y" hidden="1">#REF!</definedName>
    <definedName name="BExCV634L7SVHGB0UDDTRRQ2Q72H" localSheetId="20" hidden="1">#REF!</definedName>
    <definedName name="BExCV634L7SVHGB0UDDTRRQ2Q72H" hidden="1">#REF!</definedName>
    <definedName name="BExCVA4UIZYJL3LZ7EQQOM9CIPAD" localSheetId="20" hidden="1">#REF!</definedName>
    <definedName name="BExCVA4UIZYJL3LZ7EQQOM9CIPAD" hidden="1">#REF!</definedName>
    <definedName name="BExCVBMRUN39FYTXYMM2N12EFLG1" localSheetId="20" hidden="1">#REF!</definedName>
    <definedName name="BExCVBMRUN39FYTXYMM2N12EFLG1" hidden="1">#REF!</definedName>
    <definedName name="BExCVBXGSXT9FWJRG62PX9S1RK83" localSheetId="20" hidden="1">#REF!</definedName>
    <definedName name="BExCVBXGSXT9FWJRG62PX9S1RK83" hidden="1">#REF!</definedName>
    <definedName name="BExCVEH7A1VWBBC4BVU6VNJA1WGJ" localSheetId="20" hidden="1">#REF!</definedName>
    <definedName name="BExCVEH7A1VWBBC4BVU6VNJA1WGJ" hidden="1">#REF!</definedName>
    <definedName name="BExCVHBNLOHNFS0JAV3I1XGPNH9W" localSheetId="20" hidden="1">#REF!</definedName>
    <definedName name="BExCVHBNLOHNFS0JAV3I1XGPNH9W" hidden="1">#REF!</definedName>
    <definedName name="BExCVI86R31A2IOZIEBY1FJLVILD" localSheetId="20" hidden="1">#REF!</definedName>
    <definedName name="BExCVI86R31A2IOZIEBY1FJLVILD" hidden="1">#REF!</definedName>
    <definedName name="BExCVKGZXE0I9EIXKBZVSGSEY2RR" localSheetId="20" hidden="1">#REF!</definedName>
    <definedName name="BExCVKGZXE0I9EIXKBZVSGSEY2RR" hidden="1">#REF!</definedName>
    <definedName name="BExCVM4B2PZUHY0W5DLK6RO6HSGU" localSheetId="20" hidden="1">#REF!</definedName>
    <definedName name="BExCVM4B2PZUHY0W5DLK6RO6HSGU" hidden="1">#REF!</definedName>
    <definedName name="BExCVV44WY5807WGMTGKPW0GT256" localSheetId="20" hidden="1">#REF!</definedName>
    <definedName name="BExCVV44WY5807WGMTGKPW0GT256" hidden="1">#REF!</definedName>
    <definedName name="BExCVZ5PN4V6MRBZ04PZJW3GEF8S" localSheetId="20" hidden="1">#REF!</definedName>
    <definedName name="BExCVZ5PN4V6MRBZ04PZJW3GEF8S" hidden="1">#REF!</definedName>
    <definedName name="BExCW13R0GWJYGXZBNCPAHQN4NR2" localSheetId="20" hidden="1">#REF!</definedName>
    <definedName name="BExCW13R0GWJYGXZBNCPAHQN4NR2" hidden="1">#REF!</definedName>
    <definedName name="BExCW9Y5HWU4RJTNX74O6L24VGCK" localSheetId="20" hidden="1">#REF!</definedName>
    <definedName name="BExCW9Y5HWU4RJTNX74O6L24VGCK" hidden="1">#REF!</definedName>
    <definedName name="BExCWJOP24TCAR0PRZG8HD526AHX" localSheetId="20" hidden="1">#REF!</definedName>
    <definedName name="BExCWJOP24TCAR0PRZG8HD526AHX" hidden="1">#REF!</definedName>
    <definedName name="BExCWM8JQB8SI9MNZVUOQN3547K8" localSheetId="20" hidden="1">#REF!</definedName>
    <definedName name="BExCWM8JQB8SI9MNZVUOQN3547K8" hidden="1">#REF!</definedName>
    <definedName name="BExCWOBVOESHXLNFULF3L3PHKV9U" localSheetId="20" hidden="1">#REF!</definedName>
    <definedName name="BExCWOBVOESHXLNFULF3L3PHKV9U" hidden="1">#REF!</definedName>
    <definedName name="BExCWP2YCA04PGYT4V2CKSHBG2N7" localSheetId="20" hidden="1">#REF!</definedName>
    <definedName name="BExCWP2YCA04PGYT4V2CKSHBG2N7" hidden="1">#REF!</definedName>
    <definedName name="BExCWPDPESGZS07QGBLSBWDNVJLZ" localSheetId="20" hidden="1">#REF!</definedName>
    <definedName name="BExCWPDPESGZS07QGBLSBWDNVJLZ" hidden="1">#REF!</definedName>
    <definedName name="BExCWTVKHIVCRHF8GC39KI58YM5K" localSheetId="20" hidden="1">#REF!</definedName>
    <definedName name="BExCWTVKHIVCRHF8GC39KI58YM5K" hidden="1">#REF!</definedName>
    <definedName name="BExCWZPWC0LNH9ZNEEWXFFTQFZN4" localSheetId="20" hidden="1">#REF!</definedName>
    <definedName name="BExCWZPWC0LNH9ZNEEWXFFTQFZN4" hidden="1">#REF!</definedName>
    <definedName name="BExCX2KGRZBRVLZNM8SUSIE6A0RL" localSheetId="20" hidden="1">#REF!</definedName>
    <definedName name="BExCX2KGRZBRVLZNM8SUSIE6A0RL" hidden="1">#REF!</definedName>
    <definedName name="BExCX30QEPK6YY3L5B9A865PM1XZ" localSheetId="20" hidden="1">#REF!</definedName>
    <definedName name="BExCX30QEPK6YY3L5B9A865PM1XZ" hidden="1">#REF!</definedName>
    <definedName name="BExCX3X451T70LZ1VF95L7W4Y4TM" localSheetId="20" hidden="1">#REF!</definedName>
    <definedName name="BExCX3X451T70LZ1VF95L7W4Y4TM" hidden="1">#REF!</definedName>
    <definedName name="BExCX4NZ2N1OUGXM7EV0U7VULJMM" localSheetId="20" hidden="1">#REF!</definedName>
    <definedName name="BExCX4NZ2N1OUGXM7EV0U7VULJMM" hidden="1">#REF!</definedName>
    <definedName name="BExCX5KCKNR3QHCET9D7RK52DEJB" localSheetId="20" hidden="1">#REF!</definedName>
    <definedName name="BExCX5KCKNR3QHCET9D7RK52DEJB" hidden="1">#REF!</definedName>
    <definedName name="BExCX8V1U9KN0DWRM7RHUYCTBVEN" localSheetId="20" hidden="1">#REF!</definedName>
    <definedName name="BExCX8V1U9KN0DWRM7RHUYCTBVEN" hidden="1">#REF!</definedName>
    <definedName name="BExCXCGIFCIU1476QTARIGF5OXEL" localSheetId="20" hidden="1">#REF!</definedName>
    <definedName name="BExCXCGIFCIU1476QTARIGF5OXEL" hidden="1">#REF!</definedName>
    <definedName name="BExCXILMURGYMAH6N5LF5DV6K3GM" localSheetId="20" hidden="1">#REF!</definedName>
    <definedName name="BExCXILMURGYMAH6N5LF5DV6K3GM" hidden="1">#REF!</definedName>
    <definedName name="BExCXMY5ISUXV19SSN8W6FPXAY3L" localSheetId="20" hidden="1">#REF!</definedName>
    <definedName name="BExCXMY5ISUXV19SSN8W6FPXAY3L" hidden="1">#REF!</definedName>
    <definedName name="BExCXQUFBMXQ1650735H48B1AZT3" localSheetId="20" hidden="1">#REF!</definedName>
    <definedName name="BExCXQUFBMXQ1650735H48B1AZT3" hidden="1">#REF!</definedName>
    <definedName name="BExCXUFX19ADNJAUPHJ62T1ZS5A4" localSheetId="20" hidden="1">#REF!</definedName>
    <definedName name="BExCXUFX19ADNJAUPHJ62T1ZS5A4" hidden="1">#REF!</definedName>
    <definedName name="BExCY2DQO9VLA77Q7EG3T0XNXX4F" localSheetId="20" hidden="1">#REF!</definedName>
    <definedName name="BExCY2DQO9VLA77Q7EG3T0XNXX4F" hidden="1">#REF!</definedName>
    <definedName name="BExCY6VMJ68MX3C981R5Q0BX5791" localSheetId="20" hidden="1">#REF!</definedName>
    <definedName name="BExCY6VMJ68MX3C981R5Q0BX5791" hidden="1">#REF!</definedName>
    <definedName name="BExCYAH2SAZCPW6XCB7V7PMMCAWO" localSheetId="20" hidden="1">#REF!</definedName>
    <definedName name="BExCYAH2SAZCPW6XCB7V7PMMCAWO" hidden="1">#REF!</definedName>
    <definedName name="BExCYE2K07U5UQ0WQNHXML7T0NJO" localSheetId="20" hidden="1">#REF!</definedName>
    <definedName name="BExCYE2K07U5UQ0WQNHXML7T0NJO" hidden="1">#REF!</definedName>
    <definedName name="BExCYH7R2U5R12XVG3NJ54H052NJ" localSheetId="20" hidden="1">#REF!</definedName>
    <definedName name="BExCYH7R2U5R12XVG3NJ54H052NJ" hidden="1">#REF!</definedName>
    <definedName name="BExCYJBB52X8B3AREHCC1L5QNPX7" localSheetId="20" hidden="1">#REF!</definedName>
    <definedName name="BExCYJBB52X8B3AREHCC1L5QNPX7" hidden="1">#REF!</definedName>
    <definedName name="BExCYPRC5HJE6N2XQTHCT6NXGP8N" localSheetId="20" hidden="1">#REF!</definedName>
    <definedName name="BExCYPRC5HJE6N2XQTHCT6NXGP8N" hidden="1">#REF!</definedName>
    <definedName name="BExCYUK0I3UEXZNFDW71G6Z6D8XR" localSheetId="20" hidden="1">#REF!</definedName>
    <definedName name="BExCYUK0I3UEXZNFDW71G6Z6D8XR" hidden="1">#REF!</definedName>
    <definedName name="BExCZ9UA19GWDW0TL6HVTOXIRSPV" localSheetId="20" hidden="1">#REF!</definedName>
    <definedName name="BExCZ9UA19GWDW0TL6HVTOXIRSPV" hidden="1">#REF!</definedName>
    <definedName name="BExCZFZCXMLY5DWESYJ9NGTJYQ8M" localSheetId="20" hidden="1">#REF!</definedName>
    <definedName name="BExCZFZCXMLY5DWESYJ9NGTJYQ8M" hidden="1">#REF!</definedName>
    <definedName name="BExCZIJ0082EB1UPRKX9EHOOUV0U" localSheetId="20" hidden="1">#REF!</definedName>
    <definedName name="BExCZIJ0082EB1UPRKX9EHOOUV0U" hidden="1">#REF!</definedName>
    <definedName name="BExCZJ4P8WS0BDT31WDXI0ROE7D6" localSheetId="20" hidden="1">#REF!</definedName>
    <definedName name="BExCZJ4P8WS0BDT31WDXI0ROE7D6" hidden="1">#REF!</definedName>
    <definedName name="BExCZKH6NI0EE02L995IFVBD1J59" localSheetId="20" hidden="1">#REF!</definedName>
    <definedName name="BExCZKH6NI0EE02L995IFVBD1J59" hidden="1">#REF!</definedName>
    <definedName name="BExCZNH3KPWE50T7YYORPIC1TXLN" localSheetId="20" hidden="1">#REF!</definedName>
    <definedName name="BExCZNH3KPWE50T7YYORPIC1TXLN" hidden="1">#REF!</definedName>
    <definedName name="BExCZSKJ3H9C3V7IL5VIJR1XCVS6" localSheetId="20" hidden="1">#REF!</definedName>
    <definedName name="BExCZSKJ3H9C3V7IL5VIJR1XCVS6" hidden="1">#REF!</definedName>
    <definedName name="BExCZUD9FEOJBKDJ51Z3JON9LKJ8" localSheetId="20" hidden="1">#REF!</definedName>
    <definedName name="BExCZUD9FEOJBKDJ51Z3JON9LKJ8" hidden="1">#REF!</definedName>
    <definedName name="BExD03NQ5GR56X8Y0Y29FLTRLLS2" localSheetId="20" hidden="1">#REF!</definedName>
    <definedName name="BExD03NQ5GR56X8Y0Y29FLTRLLS2" hidden="1">#REF!</definedName>
    <definedName name="BExD0508DAALLU00PHFPBC8SRRKT" localSheetId="20" hidden="1">#REF!</definedName>
    <definedName name="BExD0508DAALLU00PHFPBC8SRRKT" hidden="1">#REF!</definedName>
    <definedName name="BExD0BAT3ER3NBREZM75FYDXWDA7" localSheetId="20" hidden="1">#REF!</definedName>
    <definedName name="BExD0BAT3ER3NBREZM75FYDXWDA7" hidden="1">#REF!</definedName>
    <definedName name="BExD0BG9BZG0I2HQ6PWHGGVEMY6K" localSheetId="20" hidden="1">#REF!</definedName>
    <definedName name="BExD0BG9BZG0I2HQ6PWHGGVEMY6K" hidden="1">#REF!</definedName>
    <definedName name="BExD0C1TNBFIEWNG3IH7R8WOPI6B" localSheetId="20" hidden="1">#REF!</definedName>
    <definedName name="BExD0C1TNBFIEWNG3IH7R8WOPI6B" hidden="1">#REF!</definedName>
    <definedName name="BExD0HALIN0JR4JTPGDEVAEE5EX5" localSheetId="20" hidden="1">#REF!</definedName>
    <definedName name="BExD0HALIN0JR4JTPGDEVAEE5EX5" hidden="1">#REF!</definedName>
    <definedName name="BExD0LCCDPG16YLY5WQSZF1XI5DA" localSheetId="20" hidden="1">#REF!</definedName>
    <definedName name="BExD0LCCDPG16YLY5WQSZF1XI5DA" hidden="1">#REF!</definedName>
    <definedName name="BExD0M38AXH7IMGDWBCB3CT349N5" localSheetId="20" hidden="1">#REF!</definedName>
    <definedName name="BExD0M38AXH7IMGDWBCB3CT349N5" hidden="1">#REF!</definedName>
    <definedName name="BExD0RMWSB4TRECEHTH6NN4K9DFZ" localSheetId="20" hidden="1">#REF!</definedName>
    <definedName name="BExD0RMWSB4TRECEHTH6NN4K9DFZ" hidden="1">#REF!</definedName>
    <definedName name="BExD0U6KG10QGVDI1XSHK0J10A2V" localSheetId="20" hidden="1">#REF!</definedName>
    <definedName name="BExD0U6KG10QGVDI1XSHK0J10A2V" hidden="1">#REF!</definedName>
    <definedName name="BExD11Z3KEWZ3PWH1UZSJRDRV9IH" localSheetId="20" hidden="1">#REF!</definedName>
    <definedName name="BExD11Z3KEWZ3PWH1UZSJRDRV9IH" hidden="1">#REF!</definedName>
    <definedName name="BExD13RUIBGRXDL4QDZ305UKUR12" localSheetId="20" hidden="1">#REF!</definedName>
    <definedName name="BExD13RUIBGRXDL4QDZ305UKUR12" hidden="1">#REF!</definedName>
    <definedName name="BExD14DETV5R4OOTMAXD5NAKWRO3" localSheetId="20" hidden="1">#REF!</definedName>
    <definedName name="BExD14DETV5R4OOTMAXD5NAKWRO3" hidden="1">#REF!</definedName>
    <definedName name="BExD160UKTD6MG5W79IBIHP0ZPKQ" localSheetId="20" hidden="1">#REF!</definedName>
    <definedName name="BExD160UKTD6MG5W79IBIHP0ZPKQ" hidden="1">#REF!</definedName>
    <definedName name="BExD16BM4TPPOCZ5ARF5HM6XKRFF" localSheetId="20" hidden="1">#REF!</definedName>
    <definedName name="BExD16BM4TPPOCZ5ARF5HM6XKRFF" hidden="1">#REF!</definedName>
    <definedName name="BExD1OAU9OXQAZA4D70HP72CU6GB" localSheetId="20" hidden="1">#REF!</definedName>
    <definedName name="BExD1OAU9OXQAZA4D70HP72CU6GB" hidden="1">#REF!</definedName>
    <definedName name="BExD1Y1JV61416YA1XRQHKWPZIE7" localSheetId="20" hidden="1">#REF!</definedName>
    <definedName name="BExD1Y1JV61416YA1XRQHKWPZIE7" hidden="1">#REF!</definedName>
    <definedName name="BExD25DU4ZMU9XFJZTH3WMVIKAK6" localSheetId="20" hidden="1">#REF!</definedName>
    <definedName name="BExD25DU4ZMU9XFJZTH3WMVIKAK6" hidden="1">#REF!</definedName>
    <definedName name="BExD2CFHIRMBKN5KXE5QP4XXEWFS" localSheetId="20" hidden="1">#REF!</definedName>
    <definedName name="BExD2CFHIRMBKN5KXE5QP4XXEWFS" hidden="1">#REF!</definedName>
    <definedName name="BExD2DMHH1HWXQ9W0YYMDP8AAX8Q" localSheetId="20" hidden="1">#REF!</definedName>
    <definedName name="BExD2DMHH1HWXQ9W0YYMDP8AAX8Q" hidden="1">#REF!</definedName>
    <definedName name="BExD2HTPC7IWBAU6OSQ67MQA8BYZ" localSheetId="20" hidden="1">#REF!</definedName>
    <definedName name="BExD2HTPC7IWBAU6OSQ67MQA8BYZ" hidden="1">#REF!</definedName>
    <definedName name="BExD2I9RDS4BGCN1GXO7T9OCTVFP" localSheetId="20" hidden="1">#REF!</definedName>
    <definedName name="BExD2I9RDS4BGCN1GXO7T9OCTVFP" hidden="1">#REF!</definedName>
    <definedName name="BExD2O9JP64FF7WFAC5CXN0SJ91I" localSheetId="20" hidden="1">#REF!</definedName>
    <definedName name="BExD2O9JP64FF7WFAC5CXN0SJ91I" hidden="1">#REF!</definedName>
    <definedName name="BExD363H2VGFIQUCE6LS4AC5J0ZT" localSheetId="20" hidden="1">#REF!</definedName>
    <definedName name="BExD363H2VGFIQUCE6LS4AC5J0ZT" hidden="1">#REF!</definedName>
    <definedName name="BExD3A588E939V61P1XEW0FI5Q0S" localSheetId="20" hidden="1">#REF!</definedName>
    <definedName name="BExD3A588E939V61P1XEW0FI5Q0S" hidden="1">#REF!</definedName>
    <definedName name="BExD3AW300FSO6AAXTER82E4G06O" localSheetId="20" hidden="1">#REF!</definedName>
    <definedName name="BExD3AW300FSO6AAXTER82E4G06O" hidden="1">#REF!</definedName>
    <definedName name="BExD3CJJDKVR9M18XI3WDZH80WL6" localSheetId="20" hidden="1">#REF!</definedName>
    <definedName name="BExD3CJJDKVR9M18XI3WDZH80WL6" hidden="1">#REF!</definedName>
    <definedName name="BExD3ESD9WYJIB3TRDPJ1CKXRAVL" localSheetId="20" hidden="1">#REF!</definedName>
    <definedName name="BExD3ESD9WYJIB3TRDPJ1CKXRAVL" hidden="1">#REF!</definedName>
    <definedName name="BExD3F368X5S25MWSUNIV57RDB57" localSheetId="20" hidden="1">#REF!</definedName>
    <definedName name="BExD3F368X5S25MWSUNIV57RDB57" hidden="1">#REF!</definedName>
    <definedName name="BExD3IJ5IT335SOSNV9L85WKAOSI" localSheetId="20" hidden="1">#REF!</definedName>
    <definedName name="BExD3IJ5IT335SOSNV9L85WKAOSI" hidden="1">#REF!</definedName>
    <definedName name="BExD3KBVUY57GMMQTOFEU6S6G1AY" localSheetId="20" hidden="1">#REF!</definedName>
    <definedName name="BExD3KBVUY57GMMQTOFEU6S6G1AY" hidden="1">#REF!</definedName>
    <definedName name="BExD3NMR7AW2Z6V8SC79VQR37NA6" localSheetId="20" hidden="1">#REF!</definedName>
    <definedName name="BExD3NMR7AW2Z6V8SC79VQR37NA6" hidden="1">#REF!</definedName>
    <definedName name="BExD3QXA2UQ2W4N7NYLUEOG40BZB" localSheetId="20" hidden="1">#REF!</definedName>
    <definedName name="BExD3QXA2UQ2W4N7NYLUEOG40BZB" hidden="1">#REF!</definedName>
    <definedName name="BExD3U2N041TEJ7GCN005UTPHNXY" localSheetId="20" hidden="1">#REF!</definedName>
    <definedName name="BExD3U2N041TEJ7GCN005UTPHNXY" hidden="1">#REF!</definedName>
    <definedName name="BExD3ZGUHLSCF22XMCGLGJ6SWTEA" localSheetId="20" hidden="1">#REF!</definedName>
    <definedName name="BExD3ZGUHLSCF22XMCGLGJ6SWTEA" hidden="1">#REF!</definedName>
    <definedName name="BExD40O0CFTNJFOFMMM1KH0P7BUI" localSheetId="20" hidden="1">#REF!</definedName>
    <definedName name="BExD40O0CFTNJFOFMMM1KH0P7BUI" hidden="1">#REF!</definedName>
    <definedName name="BExD42M7FXJ8KK8AK9LDV75Z0U92" localSheetId="20" hidden="1">#REF!</definedName>
    <definedName name="BExD42M7FXJ8KK8AK9LDV75Z0U92" hidden="1">#REF!</definedName>
    <definedName name="BExD4440VK5VJ036LP729F6A0YGC" localSheetId="20" hidden="1">'[38]10.08.4 -2008 Capital'!#REF!</definedName>
    <definedName name="BExD4440VK5VJ036LP729F6A0YGC" hidden="1">'[38]10.08.4 -2008 Capital'!#REF!</definedName>
    <definedName name="BExD4BLRYNKM0GO3B3KP6590EN75" localSheetId="15" hidden="1">#REF!</definedName>
    <definedName name="BExD4BLRYNKM0GO3B3KP6590EN75" localSheetId="16" hidden="1">#REF!</definedName>
    <definedName name="BExD4BLRYNKM0GO3B3KP6590EN75" localSheetId="20" hidden="1">#REF!</definedName>
    <definedName name="BExD4BLRYNKM0GO3B3KP6590EN75" hidden="1">#REF!</definedName>
    <definedName name="BExD4BR9HJ3MWWZ5KLVZWX9FJAUS" localSheetId="20" hidden="1">#REF!</definedName>
    <definedName name="BExD4BR9HJ3MWWZ5KLVZWX9FJAUS" hidden="1">#REF!</definedName>
    <definedName name="BExD4CYDIFKUQ00ORL8MH1G8AEOH" localSheetId="20" hidden="1">#REF!</definedName>
    <definedName name="BExD4CYDIFKUQ00ORL8MH1G8AEOH" hidden="1">#REF!</definedName>
    <definedName name="BExD4F1WTKT3H0N9MF4H1LX7MBSY" localSheetId="20" hidden="1">#REF!</definedName>
    <definedName name="BExD4F1WTKT3H0N9MF4H1LX7MBSY" hidden="1">#REF!</definedName>
    <definedName name="BExD4H5GQWXBS6LUL3TSP36DVO38" localSheetId="20" hidden="1">#REF!</definedName>
    <definedName name="BExD4H5GQWXBS6LUL3TSP36DVO38" hidden="1">#REF!</definedName>
    <definedName name="BExD4JJSS3QDBLABCJCHD45SRNPI" localSheetId="20" hidden="1">#REF!</definedName>
    <definedName name="BExD4JJSS3QDBLABCJCHD45SRNPI" hidden="1">#REF!</definedName>
    <definedName name="BExD4R1I0MKF033I5LPUYIMTZ6E8" localSheetId="20" hidden="1">#REF!</definedName>
    <definedName name="BExD4R1I0MKF033I5LPUYIMTZ6E8" hidden="1">#REF!</definedName>
    <definedName name="BExD4ZQEW7F25SBOT6GFHWYONPD2" localSheetId="20" hidden="1">'[38]10.08.2 - 2008 Expense'!#REF!</definedName>
    <definedName name="BExD4ZQEW7F25SBOT6GFHWYONPD2" hidden="1">'[38]10.08.2 - 2008 Expense'!#REF!</definedName>
    <definedName name="BExD50MT3M6XZLNUP9JL93EG6D9R" localSheetId="15" hidden="1">#REF!</definedName>
    <definedName name="BExD50MT3M6XZLNUP9JL93EG6D9R" localSheetId="16" hidden="1">#REF!</definedName>
    <definedName name="BExD50MT3M6XZLNUP9JL93EG6D9R" localSheetId="20" hidden="1">#REF!</definedName>
    <definedName name="BExD50MT3M6XZLNUP9JL93EG6D9R" hidden="1">#REF!</definedName>
    <definedName name="BExD58FB2E94KZRKVS2HR2X2RPON" localSheetId="20" hidden="1">#REF!</definedName>
    <definedName name="BExD58FB2E94KZRKVS2HR2X2RPON" hidden="1">#REF!</definedName>
    <definedName name="BExD5EV7KDSVF1CJT38M4IBPFLPY" localSheetId="20" hidden="1">#REF!</definedName>
    <definedName name="BExD5EV7KDSVF1CJT38M4IBPFLPY" hidden="1">#REF!</definedName>
    <definedName name="BExD5FRK547OESJRYAW574DZEZ7J" localSheetId="20" hidden="1">#REF!</definedName>
    <definedName name="BExD5FRK547OESJRYAW574DZEZ7J" hidden="1">#REF!</definedName>
    <definedName name="BExD5I5X2YA2YNCTCDSMEL4CWF4N" localSheetId="20" hidden="1">#REF!</definedName>
    <definedName name="BExD5I5X2YA2YNCTCDSMEL4CWF4N" hidden="1">#REF!</definedName>
    <definedName name="BExD5LGLIOQ0OLD32Y77OQHSFA20" localSheetId="20" hidden="1">#REF!</definedName>
    <definedName name="BExD5LGLIOQ0OLD32Y77OQHSFA20" hidden="1">#REF!</definedName>
    <definedName name="BExD5QUSRFJWRQ1ZM50WYLCF74DF" localSheetId="20" hidden="1">#REF!</definedName>
    <definedName name="BExD5QUSRFJWRQ1ZM50WYLCF74DF" hidden="1">#REF!</definedName>
    <definedName name="BExD5SSUIF6AJQHBHK8PNMFBPRYB" localSheetId="20" hidden="1">#REF!</definedName>
    <definedName name="BExD5SSUIF6AJQHBHK8PNMFBPRYB" hidden="1">#REF!</definedName>
    <definedName name="BExD623C9LRX18BE0W2V6SZLQUXX" localSheetId="20" hidden="1">#REF!</definedName>
    <definedName name="BExD623C9LRX18BE0W2V6SZLQUXX" hidden="1">#REF!</definedName>
    <definedName name="BExD6CQA7UMJBXV7AIFAIHUF2ICX" localSheetId="20" hidden="1">#REF!</definedName>
    <definedName name="BExD6CQA7UMJBXV7AIFAIHUF2ICX" hidden="1">#REF!</definedName>
    <definedName name="BExD6FKVK8WJWNYPVENR7Q8Q30PK" localSheetId="20" hidden="1">#REF!</definedName>
    <definedName name="BExD6FKVK8WJWNYPVENR7Q8Q30PK" hidden="1">#REF!</definedName>
    <definedName name="BExD6GMP0LK8WKVWMIT1NNH8CHLF" localSheetId="20" hidden="1">#REF!</definedName>
    <definedName name="BExD6GMP0LK8WKVWMIT1NNH8CHLF" hidden="1">#REF!</definedName>
    <definedName name="BExD6H2TE0WWAUIWVSSCLPZ6B88N" localSheetId="20" hidden="1">#REF!</definedName>
    <definedName name="BExD6H2TE0WWAUIWVSSCLPZ6B88N" hidden="1">#REF!</definedName>
    <definedName name="BExD6IKQHK6BAYQM4S5BEVL56Z8X" localSheetId="20" hidden="1">#REF!</definedName>
    <definedName name="BExD6IKQHK6BAYQM4S5BEVL56Z8X" hidden="1">#REF!</definedName>
    <definedName name="BExD71LTOE015TV5RSAHM8NT8GVW" localSheetId="20" hidden="1">#REF!</definedName>
    <definedName name="BExD71LTOE015TV5RSAHM8NT8GVW" hidden="1">#REF!</definedName>
    <definedName name="BExD73USXVADC7EHGHVTQNCT06ZA" localSheetId="20" hidden="1">#REF!</definedName>
    <definedName name="BExD73USXVADC7EHGHVTQNCT06ZA" hidden="1">#REF!</definedName>
    <definedName name="BExD7BHVRBZ6463MAK6KNCZQQAZL" localSheetId="20" hidden="1">#REF!</definedName>
    <definedName name="BExD7BHVRBZ6463MAK6KNCZQQAZL" hidden="1">#REF!</definedName>
    <definedName name="BExD7GAI1HJ9MD4ZU26MDRDS4E2B" localSheetId="20" hidden="1">#REF!</definedName>
    <definedName name="BExD7GAI1HJ9MD4ZU26MDRDS4E2B" hidden="1">#REF!</definedName>
    <definedName name="BExD7GAIGULTB3YHM1OS9RBQOTEC" localSheetId="20" hidden="1">#REF!</definedName>
    <definedName name="BExD7GAIGULTB3YHM1OS9RBQOTEC" hidden="1">#REF!</definedName>
    <definedName name="BExD7IE1DHIS52UFDCTSKPJQNRD5" localSheetId="20" hidden="1">#REF!</definedName>
    <definedName name="BExD7IE1DHIS52UFDCTSKPJQNRD5" hidden="1">#REF!</definedName>
    <definedName name="BExD7IUBGUWHYC9UNZ1IY5XFYKQN" localSheetId="20" hidden="1">#REF!</definedName>
    <definedName name="BExD7IUBGUWHYC9UNZ1IY5XFYKQN" hidden="1">#REF!</definedName>
    <definedName name="BExD7JQOJ35HGL8U2OCEI2P2JT7I" localSheetId="20" hidden="1">#REF!</definedName>
    <definedName name="BExD7JQOJ35HGL8U2OCEI2P2JT7I" hidden="1">#REF!</definedName>
    <definedName name="BExD7KSDKNDNH95NDT3S7GM3MUU2" localSheetId="20" hidden="1">#REF!</definedName>
    <definedName name="BExD7KSDKNDNH95NDT3S7GM3MUU2" hidden="1">#REF!</definedName>
    <definedName name="BExD7N6P5ERNDX7C0TYFQOP08EQQ" localSheetId="20" hidden="1">#REF!</definedName>
    <definedName name="BExD7N6P5ERNDX7C0TYFQOP08EQQ" hidden="1">#REF!</definedName>
    <definedName name="BExD87EVTIE7IAHSBAD70MNJUTK8" localSheetId="20" hidden="1">#REF!</definedName>
    <definedName name="BExD87EVTIE7IAHSBAD70MNJUTK8" hidden="1">#REF!</definedName>
    <definedName name="BExD8H5O087KQVWIVPUUID5VMGMS" localSheetId="20" hidden="1">#REF!</definedName>
    <definedName name="BExD8H5O087KQVWIVPUUID5VMGMS" hidden="1">#REF!</definedName>
    <definedName name="BExD8OCLZMFN5K3VZYI4Q4ITVKUA" localSheetId="20" hidden="1">#REF!</definedName>
    <definedName name="BExD8OCLZMFN5K3VZYI4Q4ITVKUA" hidden="1">#REF!</definedName>
    <definedName name="BExD8UY01RLLF0MGPUZLE6EXR9AC" localSheetId="20" hidden="1">#REF!</definedName>
    <definedName name="BExD8UY01RLLF0MGPUZLE6EXR9AC" hidden="1">#REF!</definedName>
    <definedName name="BExD90MZC8CFEENJPJGQXGWBZL33" localSheetId="20" hidden="1">#REF!</definedName>
    <definedName name="BExD90MZC8CFEENJPJGQXGWBZL33" hidden="1">#REF!</definedName>
    <definedName name="BExD93C1R6LC0631ECHVFYH0R0PD" localSheetId="20" hidden="1">#REF!</definedName>
    <definedName name="BExD93C1R6LC0631ECHVFYH0R0PD" hidden="1">#REF!</definedName>
    <definedName name="BExD97TXIO0COVNN4OH3DEJ33YLM" localSheetId="20" hidden="1">#REF!</definedName>
    <definedName name="BExD97TXIO0COVNN4OH3DEJ33YLM" hidden="1">#REF!</definedName>
    <definedName name="BExD99RZ1RFIMK6O1ZHSPJ68X9Y5" localSheetId="20" hidden="1">#REF!</definedName>
    <definedName name="BExD99RZ1RFIMK6O1ZHSPJ68X9Y5" hidden="1">#REF!</definedName>
    <definedName name="BExD9C0ZMLX1WR2QR1YPWX15IH8W" localSheetId="20" hidden="1">'[38]10.08.3 - 2008 Expense - TDBU'!#REF!</definedName>
    <definedName name="BExD9C0ZMLX1WR2QR1YPWX15IH8W" hidden="1">'[38]10.08.3 - 2008 Expense - TDBU'!#REF!</definedName>
    <definedName name="BExD9L0ID3VSOU609GKWYTA5BFMA" localSheetId="15" hidden="1">#REF!</definedName>
    <definedName name="BExD9L0ID3VSOU609GKWYTA5BFMA" localSheetId="16" hidden="1">#REF!</definedName>
    <definedName name="BExD9L0ID3VSOU609GKWYTA5BFMA" localSheetId="20" hidden="1">#REF!</definedName>
    <definedName name="BExD9L0ID3VSOU609GKWYTA5BFMA" hidden="1">#REF!</definedName>
    <definedName name="BExD9M7SEMG0JK2FUTTZXWIEBTKB" localSheetId="20" hidden="1">#REF!</definedName>
    <definedName name="BExD9M7SEMG0JK2FUTTZXWIEBTKB" hidden="1">#REF!</definedName>
    <definedName name="BExD9MNYBYB1AICQL5165G472IE2" localSheetId="20" hidden="1">#REF!</definedName>
    <definedName name="BExD9MNYBYB1AICQL5165G472IE2" hidden="1">#REF!</definedName>
    <definedName name="BExD9PNSYT7GASEGUVL48MUQ02WO" localSheetId="20" hidden="1">#REF!</definedName>
    <definedName name="BExD9PNSYT7GASEGUVL48MUQ02WO" hidden="1">#REF!</definedName>
    <definedName name="BExD9TK2MIWFH5SKUYU9ZKF4NPHQ" localSheetId="20" hidden="1">#REF!</definedName>
    <definedName name="BExD9TK2MIWFH5SKUYU9ZKF4NPHQ" hidden="1">#REF!</definedName>
    <definedName name="BExDA2JS3GCJ8M5I4XF4ZMYZ4BXT" localSheetId="20" hidden="1">#REF!</definedName>
    <definedName name="BExDA2JS3GCJ8M5I4XF4ZMYZ4BXT" hidden="1">#REF!</definedName>
    <definedName name="BExDA6LD9061UULVKUUI4QP8SK13" localSheetId="20" hidden="1">#REF!</definedName>
    <definedName name="BExDA6LD9061UULVKUUI4QP8SK13" hidden="1">#REF!</definedName>
    <definedName name="BExDA7SHULP5GGGVSZFK3FMN833U" localSheetId="20" hidden="1">#REF!</definedName>
    <definedName name="BExDA7SHULP5GGGVSZFK3FMN833U" hidden="1">#REF!</definedName>
    <definedName name="BExDABE0KA94036RVJKMXL7GB30N" localSheetId="20" hidden="1">#REF!</definedName>
    <definedName name="BExDABE0KA94036RVJKMXL7GB30N" hidden="1">#REF!</definedName>
    <definedName name="BExDAGMVMNLQ6QXASB9R6D8DIT12" localSheetId="20" hidden="1">#REF!</definedName>
    <definedName name="BExDAGMVMNLQ6QXASB9R6D8DIT12" hidden="1">#REF!</definedName>
    <definedName name="BExDAYBHU9ADLXI8VRC7F608RVGM" localSheetId="20" hidden="1">#REF!</definedName>
    <definedName name="BExDAYBHU9ADLXI8VRC7F608RVGM" hidden="1">#REF!</definedName>
    <definedName name="BExDBDR1XR0FV0CYUCB2OJ7CJCZU" localSheetId="20" hidden="1">#REF!</definedName>
    <definedName name="BExDBDR1XR0FV0CYUCB2OJ7CJCZU" hidden="1">#REF!</definedName>
    <definedName name="BExDBO8QK1FUFVLO07NZ0BZ9BKA0" localSheetId="20" hidden="1">#REF!</definedName>
    <definedName name="BExDBO8QK1FUFVLO07NZ0BZ9BKA0" hidden="1">#REF!</definedName>
    <definedName name="BExDBRJDI7W1042W6UYNA12BZGBJ" localSheetId="20" hidden="1">#REF!</definedName>
    <definedName name="BExDBRJDI7W1042W6UYNA12BZGBJ" hidden="1">#REF!</definedName>
    <definedName name="BExDBY4R8EXLUENLCDFC4YRRVQPS" localSheetId="20" hidden="1">#REF!</definedName>
    <definedName name="BExDBY4R8EXLUENLCDFC4YRRVQPS" hidden="1">#REF!</definedName>
    <definedName name="BExDC7F818VN0S18ID7XRCRVYPJ4" localSheetId="20" hidden="1">#REF!</definedName>
    <definedName name="BExDC7F818VN0S18ID7XRCRVYPJ4" hidden="1">#REF!</definedName>
    <definedName name="BExDCL7K96PC9VZYB70ZW3QPVIJE" localSheetId="20" hidden="1">#REF!</definedName>
    <definedName name="BExDCL7K96PC9VZYB70ZW3QPVIJE" hidden="1">#REF!</definedName>
    <definedName name="BExDCP3UZ3C2O4C1F7KMU0Z9U32N" localSheetId="20" hidden="1">#REF!</definedName>
    <definedName name="BExDCP3UZ3C2O4C1F7KMU0Z9U32N" hidden="1">#REF!</definedName>
    <definedName name="BExEOBX3WECDMYCV9RLN49APTXMM" localSheetId="20" hidden="1">#REF!</definedName>
    <definedName name="BExEOBX3WECDMYCV9RLN49APTXMM" hidden="1">#REF!</definedName>
    <definedName name="BExEOKLZRPEMPJO02S4EGHZXAWN3" localSheetId="20" hidden="1">#REF!</definedName>
    <definedName name="BExEOKLZRPEMPJO02S4EGHZXAWN3" hidden="1">#REF!</definedName>
    <definedName name="BExEP4E4F36662JDI0TOD85OP7X9" localSheetId="20" hidden="1">#REF!</definedName>
    <definedName name="BExEP4E4F36662JDI0TOD85OP7X9" hidden="1">#REF!</definedName>
    <definedName name="BExEPN9VIYI0FVL0HLZQXJFO6TT0" localSheetId="20" hidden="1">#REF!</definedName>
    <definedName name="BExEPN9VIYI0FVL0HLZQXJFO6TT0" hidden="1">#REF!</definedName>
    <definedName name="BExEPYT6VDSMR8MU2341Q5GM2Y9V" localSheetId="20" hidden="1">#REF!</definedName>
    <definedName name="BExEPYT6VDSMR8MU2341Q5GM2Y9V" hidden="1">#REF!</definedName>
    <definedName name="BExEQ2ENYLMY8K1796XBB31CJHNN" localSheetId="20" hidden="1">#REF!</definedName>
    <definedName name="BExEQ2ENYLMY8K1796XBB31CJHNN" hidden="1">#REF!</definedName>
    <definedName name="BExEQ2PFE4N40LEPGDPS90WDL6BN" localSheetId="20" hidden="1">#REF!</definedName>
    <definedName name="BExEQ2PFE4N40LEPGDPS90WDL6BN" hidden="1">#REF!</definedName>
    <definedName name="BExEQ2PFURT24NQYGYVE8NKX1EGA" localSheetId="20" hidden="1">#REF!</definedName>
    <definedName name="BExEQ2PFURT24NQYGYVE8NKX1EGA" hidden="1">#REF!</definedName>
    <definedName name="BExEQB8ZWXO6IIGOEPWTLOJGE2NR" localSheetId="20" hidden="1">#REF!</definedName>
    <definedName name="BExEQB8ZWXO6IIGOEPWTLOJGE2NR" hidden="1">#REF!</definedName>
    <definedName name="BExEQBZX0EL6LIKPY01197ACK65H" localSheetId="20" hidden="1">#REF!</definedName>
    <definedName name="BExEQBZX0EL6LIKPY01197ACK65H" hidden="1">#REF!</definedName>
    <definedName name="BExEQDXZALJLD4OBF74IKZBR13SR" localSheetId="20" hidden="1">#REF!</definedName>
    <definedName name="BExEQDXZALJLD4OBF74IKZBR13SR" hidden="1">#REF!</definedName>
    <definedName name="BExEQE3GC6W9CGTSGR7X502XUI5L" localSheetId="20" hidden="1">#REF!</definedName>
    <definedName name="BExEQE3GC6W9CGTSGR7X502XUI5L" hidden="1">#REF!</definedName>
    <definedName name="BExEQFLE2RPWGMWQAI4JMKUEFRPT" localSheetId="20" hidden="1">#REF!</definedName>
    <definedName name="BExEQFLE2RPWGMWQAI4JMKUEFRPT" hidden="1">#REF!</definedName>
    <definedName name="BExEQK38GYRBUH7XFJUH04UET47Q" localSheetId="20" hidden="1">#REF!</definedName>
    <definedName name="BExEQK38GYRBUH7XFJUH04UET47Q" hidden="1">#REF!</definedName>
    <definedName name="BExEQKE1O2TX2P7ZGJMB9VWDXWO4" localSheetId="20" hidden="1">#REF!</definedName>
    <definedName name="BExEQKE1O2TX2P7ZGJMB9VWDXWO4" hidden="1">#REF!</definedName>
    <definedName name="BExEQTZAP8R69U31W4LKGTKKGKQE" localSheetId="20" hidden="1">#REF!</definedName>
    <definedName name="BExEQTZAP8R69U31W4LKGTKKGKQE" hidden="1">#REF!</definedName>
    <definedName name="BExEQU4RR1SZE5XJ90D8ZQ8KRZFG" localSheetId="20" hidden="1">#REF!</definedName>
    <definedName name="BExEQU4RR1SZE5XJ90D8ZQ8KRZFG" hidden="1">#REF!</definedName>
    <definedName name="BExER2O72H1F9WV6S1J04C15PXX7" localSheetId="20" hidden="1">#REF!</definedName>
    <definedName name="BExER2O72H1F9WV6S1J04C15PXX7" hidden="1">#REF!</definedName>
    <definedName name="BExERFEPB2LP5DWH3DNZJF8R0AK9" localSheetId="20" hidden="1">#REF!</definedName>
    <definedName name="BExERFEPB2LP5DWH3DNZJF8R0AK9" hidden="1">#REF!</definedName>
    <definedName name="BExERRUIKIOATPZ9U4HQ0V52RJAU" localSheetId="20" hidden="1">#REF!</definedName>
    <definedName name="BExERRUIKIOATPZ9U4HQ0V52RJAU" hidden="1">#REF!</definedName>
    <definedName name="BExERSANFNM1O7T65PC5MJ301YET" localSheetId="20" hidden="1">#REF!</definedName>
    <definedName name="BExERSANFNM1O7T65PC5MJ301YET" hidden="1">#REF!</definedName>
    <definedName name="BExERTNAJZ59DKI5JCRPJKMWW067" localSheetId="20" hidden="1">#REF!</definedName>
    <definedName name="BExERTNAJZ59DKI5JCRPJKMWW067" hidden="1">#REF!</definedName>
    <definedName name="BExERWCEBKQRYWRQLYJ4UCMMKTHG" localSheetId="20" hidden="1">[39]Table!#REF!</definedName>
    <definedName name="BExERWCEBKQRYWRQLYJ4UCMMKTHG" hidden="1">[39]Table!#REF!</definedName>
    <definedName name="BExES1QK2RJM42AWEVW7RIMFEW0F" localSheetId="15" hidden="1">#REF!</definedName>
    <definedName name="BExES1QK2RJM42AWEVW7RIMFEW0F" localSheetId="16" hidden="1">#REF!</definedName>
    <definedName name="BExES1QK2RJM42AWEVW7RIMFEW0F" localSheetId="20" hidden="1">#REF!</definedName>
    <definedName name="BExES1QK2RJM42AWEVW7RIMFEW0F" hidden="1">#REF!</definedName>
    <definedName name="BExES44RHHDL3V7FLV6M20834WF1" localSheetId="20" hidden="1">#REF!</definedName>
    <definedName name="BExES44RHHDL3V7FLV6M20834WF1" hidden="1">#REF!</definedName>
    <definedName name="BExES4A7VE2X3RYYTVRLKZD4I7WU" localSheetId="20" hidden="1">#REF!</definedName>
    <definedName name="BExES4A7VE2X3RYYTVRLKZD4I7WU" hidden="1">#REF!</definedName>
    <definedName name="BExES6ZC8R7PHJ21OVJFLIR7DY30" localSheetId="20" hidden="1">#REF!</definedName>
    <definedName name="BExES6ZC8R7PHJ21OVJFLIR7DY30" hidden="1">#REF!</definedName>
    <definedName name="BExESEH25TCNEETUCSRK8DYHROYY" localSheetId="20" hidden="1">#REF!</definedName>
    <definedName name="BExESEH25TCNEETUCSRK8DYHROYY" hidden="1">#REF!</definedName>
    <definedName name="BExESMKD95A649M0WRSG6CXXP326" localSheetId="20" hidden="1">#REF!</definedName>
    <definedName name="BExESMKD95A649M0WRSG6CXXP326" hidden="1">#REF!</definedName>
    <definedName name="BExESR27ZXJG5VMY4PR9D940VS7T" localSheetId="20" hidden="1">#REF!</definedName>
    <definedName name="BExESR27ZXJG5VMY4PR9D940VS7T" hidden="1">#REF!</definedName>
    <definedName name="BExESZ03KXL8DQ2591HLR56ZML94" localSheetId="20" hidden="1">#REF!</definedName>
    <definedName name="BExESZ03KXL8DQ2591HLR56ZML94" hidden="1">#REF!</definedName>
    <definedName name="BExESZAW5N443NRTKIP59OEI1CR6" localSheetId="20" hidden="1">#REF!</definedName>
    <definedName name="BExESZAW5N443NRTKIP59OEI1CR6" hidden="1">#REF!</definedName>
    <definedName name="BExET3HXQ60A4O2OLKX8QNXRI6LQ" localSheetId="20" hidden="1">#REF!</definedName>
    <definedName name="BExET3HXQ60A4O2OLKX8QNXRI6LQ" hidden="1">#REF!</definedName>
    <definedName name="BExET3SPX08PMIJ6NN1UTG16Y6O2" localSheetId="20" hidden="1">#REF!</definedName>
    <definedName name="BExET3SPX08PMIJ6NN1UTG16Y6O2" hidden="1">#REF!</definedName>
    <definedName name="BExETA3B1FCIOA80H94K90FWXQKE" localSheetId="20" hidden="1">#REF!</definedName>
    <definedName name="BExETA3B1FCIOA80H94K90FWXQKE" hidden="1">#REF!</definedName>
    <definedName name="BExETAZOYT4CJIT8RRKC9F2HJG1D" localSheetId="20" hidden="1">#REF!</definedName>
    <definedName name="BExETAZOYT4CJIT8RRKC9F2HJG1D" hidden="1">#REF!</definedName>
    <definedName name="BExETDZJZBM897WV9SJ54R7KH7MG" localSheetId="20" hidden="1">#REF!</definedName>
    <definedName name="BExETDZJZBM897WV9SJ54R7KH7MG" hidden="1">#REF!</definedName>
    <definedName name="BExETDZKK8E89XXW4SLL9AY29YEZ" localSheetId="20" hidden="1">#REF!</definedName>
    <definedName name="BExETDZKK8E89XXW4SLL9AY29YEZ" hidden="1">#REF!</definedName>
    <definedName name="BExETF6QD5A9GEINE1KZRRC2LXWM" localSheetId="20" hidden="1">#REF!</definedName>
    <definedName name="BExETF6QD5A9GEINE1KZRRC2LXWM" hidden="1">#REF!</definedName>
    <definedName name="BExETQ9XRXLUACN82805SPSPNKHI" localSheetId="20" hidden="1">#REF!</definedName>
    <definedName name="BExETQ9XRXLUACN82805SPSPNKHI" hidden="1">#REF!</definedName>
    <definedName name="BExETR0YRMOR63E6DHLEHV9QVVON" localSheetId="20" hidden="1">#REF!</definedName>
    <definedName name="BExETR0YRMOR63E6DHLEHV9QVVON" hidden="1">#REF!</definedName>
    <definedName name="BExETU66ISCWFE06X0BBMH4H32HS" localSheetId="20" hidden="1">#REF!</definedName>
    <definedName name="BExETU66ISCWFE06X0BBMH4H32HS" hidden="1">#REF!</definedName>
    <definedName name="BExETVTGY38YXYYF7N73OYN6FYY3" localSheetId="20" hidden="1">#REF!</definedName>
    <definedName name="BExETVTGY38YXYYF7N73OYN6FYY3" hidden="1">#REF!</definedName>
    <definedName name="BExEUNE4T242Y59C6MS28MXEUGCP" localSheetId="20" hidden="1">#REF!</definedName>
    <definedName name="BExEUNE4T242Y59C6MS28MXEUGCP" hidden="1">#REF!</definedName>
    <definedName name="BExEV1H9B1FRT8LPRHN7ODLAOI8T" localSheetId="20" hidden="1">'[38]10.08.4 -2008 Capital'!#REF!</definedName>
    <definedName name="BExEV1H9B1FRT8LPRHN7ODLAOI8T" hidden="1">'[38]10.08.4 -2008 Capital'!#REF!</definedName>
    <definedName name="BExEV2TP7NA3ZR6RJGH5ER370OUM" localSheetId="15" hidden="1">#REF!</definedName>
    <definedName name="BExEV2TP7NA3ZR6RJGH5ER370OUM" localSheetId="16" hidden="1">#REF!</definedName>
    <definedName name="BExEV2TP7NA3ZR6RJGH5ER370OUM" localSheetId="20" hidden="1">#REF!</definedName>
    <definedName name="BExEV2TP7NA3ZR6RJGH5ER370OUM" hidden="1">#REF!</definedName>
    <definedName name="BExEV69USLNYO2QRJRC0J92XUF00" localSheetId="20" hidden="1">#REF!</definedName>
    <definedName name="BExEV69USLNYO2QRJRC0J92XUF00" hidden="1">#REF!</definedName>
    <definedName name="BExEV6KNTQOCFD7GV726XQEVQ7R6" localSheetId="20" hidden="1">#REF!</definedName>
    <definedName name="BExEV6KNTQOCFD7GV726XQEVQ7R6" hidden="1">#REF!</definedName>
    <definedName name="BExEV6VGM4POO9QT9KH3QA3VYCWM" localSheetId="20" hidden="1">#REF!</definedName>
    <definedName name="BExEV6VGM4POO9QT9KH3QA3VYCWM" hidden="1">#REF!</definedName>
    <definedName name="BExEV7MBFVP1I7TO351C06LT5IXR" localSheetId="20" hidden="1">#REF!</definedName>
    <definedName name="BExEV7MBFVP1I7TO351C06LT5IXR" hidden="1">#REF!</definedName>
    <definedName name="BExEVET98G3FU6QBF9LHYWSAMV0O" localSheetId="20" hidden="1">#REF!</definedName>
    <definedName name="BExEVET98G3FU6QBF9LHYWSAMV0O" hidden="1">#REF!</definedName>
    <definedName name="BExEVNCUT0PDUYNJH7G6BSEWZOT2" localSheetId="20" hidden="1">#REF!</definedName>
    <definedName name="BExEVNCUT0PDUYNJH7G6BSEWZOT2" hidden="1">#REF!</definedName>
    <definedName name="BExEVPGF4V5J0WQRZKUM8F9TTKZJ" localSheetId="20" hidden="1">#REF!</definedName>
    <definedName name="BExEVPGF4V5J0WQRZKUM8F9TTKZJ" hidden="1">#REF!</definedName>
    <definedName name="BExEVPWH8S9GER9M14SPIT6XZ8SG" localSheetId="20" hidden="1">#REF!</definedName>
    <definedName name="BExEVPWH8S9GER9M14SPIT6XZ8SG" hidden="1">#REF!</definedName>
    <definedName name="BExEVSLKRULT27602UIM13PGVL2R" localSheetId="20" hidden="1">#REF!</definedName>
    <definedName name="BExEVSLKRULT27602UIM13PGVL2R" hidden="1">#REF!</definedName>
    <definedName name="BExEVVLIEVWYRF2UUC1H0H5QU1CP" localSheetId="20" hidden="1">#REF!</definedName>
    <definedName name="BExEVVLIEVWYRF2UUC1H0H5QU1CP" hidden="1">#REF!</definedName>
    <definedName name="BExEVWCKO8T84GW9Z3X47915XKSH" localSheetId="20" hidden="1">#REF!</definedName>
    <definedName name="BExEVWCKO8T84GW9Z3X47915XKSH" hidden="1">#REF!</definedName>
    <definedName name="BExEVZSJWMZ5L2ZE7AZC57CXKW6T" localSheetId="20" hidden="1">#REF!</definedName>
    <definedName name="BExEVZSJWMZ5L2ZE7AZC57CXKW6T" hidden="1">#REF!</definedName>
    <definedName name="BExEW0JL1GFFCXMDGW54CI7Y8FZN" localSheetId="20" hidden="1">#REF!</definedName>
    <definedName name="BExEW0JL1GFFCXMDGW54CI7Y8FZN" hidden="1">#REF!</definedName>
    <definedName name="BExEW5SCJJRAF57MFJ81MB2U6K1N" localSheetId="20" hidden="1">'[38]10.08.4 -2008 Capital'!#REF!</definedName>
    <definedName name="BExEW5SCJJRAF57MFJ81MB2U6K1N" hidden="1">'[38]10.08.4 -2008 Capital'!#REF!</definedName>
    <definedName name="BExEW68M9WL8214QH9C7VCK7BN08" localSheetId="15" hidden="1">#REF!</definedName>
    <definedName name="BExEW68M9WL8214QH9C7VCK7BN08" localSheetId="16" hidden="1">#REF!</definedName>
    <definedName name="BExEW68M9WL8214QH9C7VCK7BN08" localSheetId="20" hidden="1">#REF!</definedName>
    <definedName name="BExEW68M9WL8214QH9C7VCK7BN08" hidden="1">#REF!</definedName>
    <definedName name="BExEW8C5SY1NQL4BKYZVXQ6JPR0W" localSheetId="20" hidden="1">#REF!</definedName>
    <definedName name="BExEW8C5SY1NQL4BKYZVXQ6JPR0W" hidden="1">#REF!</definedName>
    <definedName name="BExEW8HFKH6F47KIHYBDRUEFZ2ZZ" localSheetId="20" hidden="1">#REF!</definedName>
    <definedName name="BExEW8HFKH6F47KIHYBDRUEFZ2ZZ" hidden="1">#REF!</definedName>
    <definedName name="BExEWLO75K95C6IRKHXSP7VP81T4" localSheetId="20" hidden="1">#REF!</definedName>
    <definedName name="BExEWLO75K95C6IRKHXSP7VP81T4" hidden="1">#REF!</definedName>
    <definedName name="BExEWNBGQS1U2LW3W84T4LSJ9K00" localSheetId="20" hidden="1">#REF!</definedName>
    <definedName name="BExEWNBGQS1U2LW3W84T4LSJ9K00" hidden="1">#REF!</definedName>
    <definedName name="BExEWO7STL7HNZSTY8VQBPTX1WK6" localSheetId="20" hidden="1">#REF!</definedName>
    <definedName name="BExEWO7STL7HNZSTY8VQBPTX1WK6" hidden="1">#REF!</definedName>
    <definedName name="BExEWQ0M1N3KMKTDJ73H10QSG4W1" localSheetId="20" hidden="1">#REF!</definedName>
    <definedName name="BExEWQ0M1N3KMKTDJ73H10QSG4W1" hidden="1">#REF!</definedName>
    <definedName name="BExEWRTB911TBBZNA61Y44XXUP7N" localSheetId="20" hidden="1">#REF!</definedName>
    <definedName name="BExEWRTB911TBBZNA61Y44XXUP7N" hidden="1">#REF!</definedName>
    <definedName name="BExEWY3WYCWEMX9F15OWWUSC6ITZ" localSheetId="20" hidden="1">#REF!</definedName>
    <definedName name="BExEWY3WYCWEMX9F15OWWUSC6ITZ" hidden="1">#REF!</definedName>
    <definedName name="BExEX25M63XO5LQD9ZS2VHQ0U8SR" localSheetId="20" hidden="1">#REF!</definedName>
    <definedName name="BExEX25M63XO5LQD9ZS2VHQ0U8SR" hidden="1">#REF!</definedName>
    <definedName name="BExEX85F3OSW8NSCYGYPS9372Z1Q" localSheetId="20" hidden="1">#REF!</definedName>
    <definedName name="BExEX85F3OSW8NSCYGYPS9372Z1Q" hidden="1">#REF!</definedName>
    <definedName name="BExEX9HWY2G6928ZVVVQF77QCM2C" localSheetId="20" hidden="1">#REF!</definedName>
    <definedName name="BExEX9HWY2G6928ZVVVQF77QCM2C" hidden="1">#REF!</definedName>
    <definedName name="BExEXBQWAYKMVBRJRHB8PFCSYFVN" localSheetId="20" hidden="1">#REF!</definedName>
    <definedName name="BExEXBQWAYKMVBRJRHB8PFCSYFVN" hidden="1">#REF!</definedName>
    <definedName name="BExEXRBZ0DI9E2UFLLKYWGN66B61" localSheetId="20" hidden="1">#REF!</definedName>
    <definedName name="BExEXRBZ0DI9E2UFLLKYWGN66B61" hidden="1">#REF!</definedName>
    <definedName name="BExEY3GVGXSA8OTWWVC0OOM3N7EO" localSheetId="20" hidden="1">#REF!</definedName>
    <definedName name="BExEY3GVGXSA8OTWWVC0OOM3N7EO" hidden="1">#REF!</definedName>
    <definedName name="BExEYLG9FL9V1JPPNZ3FUDNSEJ4V" localSheetId="20" hidden="1">#REF!</definedName>
    <definedName name="BExEYLG9FL9V1JPPNZ3FUDNSEJ4V" hidden="1">#REF!</definedName>
    <definedName name="BExEYOW8C1B3OUUCIGEC7L8OOW1Z" localSheetId="20" hidden="1">#REF!</definedName>
    <definedName name="BExEYOW8C1B3OUUCIGEC7L8OOW1Z" hidden="1">#REF!</definedName>
    <definedName name="BExEYUQJXZT6N5HJH8ACJF6SRWEE" localSheetId="20" hidden="1">#REF!</definedName>
    <definedName name="BExEYUQJXZT6N5HJH8ACJF6SRWEE" hidden="1">#REF!</definedName>
    <definedName name="BExEZ1S6VZCG01ZPLBSS9Z1SBOJ2" localSheetId="20" hidden="1">#REF!</definedName>
    <definedName name="BExEZ1S6VZCG01ZPLBSS9Z1SBOJ2" hidden="1">#REF!</definedName>
    <definedName name="BExEZGBFNJR8DLPN0V11AU22L6WY" localSheetId="20" hidden="1">#REF!</definedName>
    <definedName name="BExEZGBFNJR8DLPN0V11AU22L6WY" hidden="1">#REF!</definedName>
    <definedName name="BExF02Y3V3QEPO2XLDSK47APK9XJ" localSheetId="20" hidden="1">#REF!</definedName>
    <definedName name="BExF02Y3V3QEPO2XLDSK47APK9XJ" hidden="1">#REF!</definedName>
    <definedName name="BExF09OS91RT7N7IW8JLMZ121ZP3" localSheetId="20" hidden="1">#REF!</definedName>
    <definedName name="BExF09OS91RT7N7IW8JLMZ121ZP3" hidden="1">#REF!</definedName>
    <definedName name="BExF0JFE12J96ZPQZ2WHQZ66M1PC" localSheetId="20" hidden="1">#REF!</definedName>
    <definedName name="BExF0JFE12J96ZPQZ2WHQZ66M1PC" hidden="1">#REF!</definedName>
    <definedName name="BExF0LOEHV42P2DV7QL8O7HOQ3N9" localSheetId="20" hidden="1">#REF!</definedName>
    <definedName name="BExF0LOEHV42P2DV7QL8O7HOQ3N9" hidden="1">#REF!</definedName>
    <definedName name="BExF0MVJ4YGAIOT97BSBZTKKMJLO" localSheetId="20" hidden="1">#REF!</definedName>
    <definedName name="BExF0MVJ4YGAIOT97BSBZTKKMJLO" hidden="1">#REF!</definedName>
    <definedName name="BExF0WRM9VO25RLSO03ZOCE8H7K5" localSheetId="20" hidden="1">#REF!</definedName>
    <definedName name="BExF0WRM9VO25RLSO03ZOCE8H7K5" hidden="1">#REF!</definedName>
    <definedName name="BExF0ZRI7W4RSLIDLHTSM0AWXO3S" localSheetId="20" hidden="1">#REF!</definedName>
    <definedName name="BExF0ZRI7W4RSLIDLHTSM0AWXO3S" hidden="1">#REF!</definedName>
    <definedName name="BExF15RBGKENVWZEFUPEK40YBRA7" localSheetId="20" hidden="1">#REF!</definedName>
    <definedName name="BExF15RBGKENVWZEFUPEK40YBRA7" hidden="1">#REF!</definedName>
    <definedName name="BExF19CT3MMZZ2T5EWMDNG3UOJ01" localSheetId="20" hidden="1">#REF!</definedName>
    <definedName name="BExF19CT3MMZZ2T5EWMDNG3UOJ01" hidden="1">#REF!</definedName>
    <definedName name="BExF1I6ZCNOTATBG3PZ1RGSJ7JEC" localSheetId="20" hidden="1">#REF!</definedName>
    <definedName name="BExF1I6ZCNOTATBG3PZ1RGSJ7JEC" hidden="1">#REF!</definedName>
    <definedName name="BExF1M38U6NX17YJA8YU359B5Z4M" localSheetId="20" hidden="1">#REF!</definedName>
    <definedName name="BExF1M38U6NX17YJA8YU359B5Z4M" hidden="1">#REF!</definedName>
    <definedName name="BExF1MU4W3NPEY0OHRDWP5IANCBB" localSheetId="20" hidden="1">#REF!</definedName>
    <definedName name="BExF1MU4W3NPEY0OHRDWP5IANCBB" hidden="1">#REF!</definedName>
    <definedName name="BExF1MZN8MWMOKOARHJ1QAF9HPGT" localSheetId="20" hidden="1">#REF!</definedName>
    <definedName name="BExF1MZN8MWMOKOARHJ1QAF9HPGT" hidden="1">#REF!</definedName>
    <definedName name="BExF1US4ZIQYSU5LBFYNRA9N0K2O" localSheetId="20" hidden="1">#REF!</definedName>
    <definedName name="BExF1US4ZIQYSU5LBFYNRA9N0K2O" hidden="1">#REF!</definedName>
    <definedName name="BExF1Z9Z270BYA12GL2T6GSF2ZTY" localSheetId="20" hidden="1">#REF!</definedName>
    <definedName name="BExF1Z9Z270BYA12GL2T6GSF2ZTY" hidden="1">#REF!</definedName>
    <definedName name="BExF29MBQUXJYOPZW1LVIKUJ4C01" localSheetId="20" hidden="1">#REF!</definedName>
    <definedName name="BExF29MBQUXJYOPZW1LVIKUJ4C01" hidden="1">#REF!</definedName>
    <definedName name="BExF2CWZN6E87RGTBMD4YQI2QT7R" localSheetId="20" hidden="1">#REF!</definedName>
    <definedName name="BExF2CWZN6E87RGTBMD4YQI2QT7R" hidden="1">#REF!</definedName>
    <definedName name="BExF2DYO1WQ7GMXSTAQRDBW1NSFG" localSheetId="20" hidden="1">#REF!</definedName>
    <definedName name="BExF2DYO1WQ7GMXSTAQRDBW1NSFG" hidden="1">#REF!</definedName>
    <definedName name="BExF2MSVB7MZZMDR2SCNEYJX21AU" localSheetId="20" hidden="1">#REF!</definedName>
    <definedName name="BExF2MSVB7MZZMDR2SCNEYJX21AU" hidden="1">#REF!</definedName>
    <definedName name="BExF2MSWNUY9Z6BZJQZ538PPTION" localSheetId="20" hidden="1">#REF!</definedName>
    <definedName name="BExF2MSWNUY9Z6BZJQZ538PPTION" hidden="1">#REF!</definedName>
    <definedName name="BExF2QZYWHTYGUTTXR15CKCV3LS7" localSheetId="20" hidden="1">#REF!</definedName>
    <definedName name="BExF2QZYWHTYGUTTXR15CKCV3LS7" hidden="1">#REF!</definedName>
    <definedName name="BExF2T8Y6TSJ74RMSZOA9CEH4OZ6" localSheetId="20" hidden="1">#REF!</definedName>
    <definedName name="BExF2T8Y6TSJ74RMSZOA9CEH4OZ6" hidden="1">#REF!</definedName>
    <definedName name="BExF31N3YM4F37EOOY8M8VI1KXN8" localSheetId="20" hidden="1">#REF!</definedName>
    <definedName name="BExF31N3YM4F37EOOY8M8VI1KXN8" hidden="1">#REF!</definedName>
    <definedName name="BExF37C1YKBT79Z9SOJAG5MXQGTU" localSheetId="20" hidden="1">#REF!</definedName>
    <definedName name="BExF37C1YKBT79Z9SOJAG5MXQGTU" hidden="1">#REF!</definedName>
    <definedName name="BExF3A6HPA6DGYALZNHHJPMCUYZR" localSheetId="20" hidden="1">#REF!</definedName>
    <definedName name="BExF3A6HPA6DGYALZNHHJPMCUYZR" hidden="1">#REF!</definedName>
    <definedName name="BExF3HDFSQD839XTC1DA8K1VHPZK" localSheetId="20" hidden="1">#REF!</definedName>
    <definedName name="BExF3HDFSQD839XTC1DA8K1VHPZK" hidden="1">#REF!</definedName>
    <definedName name="BExF3I9T44X7DV9HHV51DVDDPPZG" localSheetId="20" hidden="1">#REF!</definedName>
    <definedName name="BExF3I9T44X7DV9HHV51DVDDPPZG" hidden="1">#REF!</definedName>
    <definedName name="BExF3JMFX5DILOIFUDIO1HZUK875" localSheetId="20" hidden="1">#REF!</definedName>
    <definedName name="BExF3JMFX5DILOIFUDIO1HZUK875" hidden="1">#REF!</definedName>
    <definedName name="BExF3NO0RE1VBB19GCRR03V0B690" localSheetId="20" hidden="1">'[38]10.08.2 - 2008 Expense'!#REF!</definedName>
    <definedName name="BExF3NO0RE1VBB19GCRR03V0B690" hidden="1">'[38]10.08.2 - 2008 Expense'!#REF!</definedName>
    <definedName name="BExF3NTC4BGZEM6B87TCFX277QCS" localSheetId="15" hidden="1">#REF!</definedName>
    <definedName name="BExF3NTC4BGZEM6B87TCFX277QCS" localSheetId="16" hidden="1">#REF!</definedName>
    <definedName name="BExF3NTC4BGZEM6B87TCFX277QCS" localSheetId="20" hidden="1">#REF!</definedName>
    <definedName name="BExF3NTC4BGZEM6B87TCFX277QCS" hidden="1">#REF!</definedName>
    <definedName name="BExF3Q7NI90WT31QHYSJDIG0LLLJ" localSheetId="20" hidden="1">#REF!</definedName>
    <definedName name="BExF3Q7NI90WT31QHYSJDIG0LLLJ" hidden="1">#REF!</definedName>
    <definedName name="BExF3QD55TIY1MSBSRK9TUJKBEWO" localSheetId="20" hidden="1">#REF!</definedName>
    <definedName name="BExF3QD55TIY1MSBSRK9TUJKBEWO" hidden="1">#REF!</definedName>
    <definedName name="BExF3QT8J6RIF1L3R700MBSKIOKW" localSheetId="20" hidden="1">#REF!</definedName>
    <definedName name="BExF3QT8J6RIF1L3R700MBSKIOKW" hidden="1">#REF!</definedName>
    <definedName name="BExF3WT0ZHF3EL0ASMG2VZWM9G8I" localSheetId="20" hidden="1">#REF!</definedName>
    <definedName name="BExF3WT0ZHF3EL0ASMG2VZWM9G8I" hidden="1">#REF!</definedName>
    <definedName name="BExF42SSBVPMLK2UB3B7FPEIY9TU" localSheetId="20" hidden="1">#REF!</definedName>
    <definedName name="BExF42SSBVPMLK2UB3B7FPEIY9TU" hidden="1">#REF!</definedName>
    <definedName name="BExF4HXSWB50BKYPWA0HTT8W56H6" localSheetId="20" hidden="1">#REF!</definedName>
    <definedName name="BExF4HXSWB50BKYPWA0HTT8W56H6" hidden="1">#REF!</definedName>
    <definedName name="BExF4KHF04IWW4LQ95FHQPFE4Y9K" localSheetId="20" hidden="1">#REF!</definedName>
    <definedName name="BExF4KHF04IWW4LQ95FHQPFE4Y9K" hidden="1">#REF!</definedName>
    <definedName name="BExF4LU2NV3A47BCWPM3EZXUEH37" localSheetId="20" hidden="1">#REF!</definedName>
    <definedName name="BExF4LU2NV3A47BCWPM3EZXUEH37" hidden="1">#REF!</definedName>
    <definedName name="BExF4MVQM5Y0QRDLDFSKWWTF709C" localSheetId="20" hidden="1">#REF!</definedName>
    <definedName name="BExF4MVQM5Y0QRDLDFSKWWTF709C" hidden="1">#REF!</definedName>
    <definedName name="BExF4PVMZYV36E8HOYY06J81AMBI" localSheetId="20" hidden="1">#REF!</definedName>
    <definedName name="BExF4PVMZYV36E8HOYY06J81AMBI" hidden="1">#REF!</definedName>
    <definedName name="BExF4RZ6DOAJ22UKB3277ZIOU46S" localSheetId="20" hidden="1">#REF!</definedName>
    <definedName name="BExF4RZ6DOAJ22UKB3277ZIOU46S" hidden="1">#REF!</definedName>
    <definedName name="BExF4SF9NEX1FZE9N8EXT89PM54D" localSheetId="20" hidden="1">#REF!</definedName>
    <definedName name="BExF4SF9NEX1FZE9N8EXT89PM54D" hidden="1">#REF!</definedName>
    <definedName name="BExF52GTGP8MHGII4KJ8TJGR8W8U" localSheetId="20" hidden="1">#REF!</definedName>
    <definedName name="BExF52GTGP8MHGII4KJ8TJGR8W8U" hidden="1">#REF!</definedName>
    <definedName name="BExF57K7L3UC1I2FSAWURR4SN0UN" localSheetId="20" hidden="1">#REF!</definedName>
    <definedName name="BExF57K7L3UC1I2FSAWURR4SN0UN" hidden="1">#REF!</definedName>
    <definedName name="BExF5D96JEPDW6LV89G2REZJ1ES7" localSheetId="20" hidden="1">#REF!</definedName>
    <definedName name="BExF5D96JEPDW6LV89G2REZJ1ES7" hidden="1">#REF!</definedName>
    <definedName name="BExF5HR2GFV7O8LKG9SJ4BY78LYA" localSheetId="20" hidden="1">#REF!</definedName>
    <definedName name="BExF5HR2GFV7O8LKG9SJ4BY78LYA" hidden="1">#REF!</definedName>
    <definedName name="BExF5ZFO2A29GHWR5ES64Z9OS16J" localSheetId="20" hidden="1">#REF!</definedName>
    <definedName name="BExF5ZFO2A29GHWR5ES64Z9OS16J" hidden="1">#REF!</definedName>
    <definedName name="BExF63S045JO7H2ZJCBTBVH3SUIF" localSheetId="20" hidden="1">#REF!</definedName>
    <definedName name="BExF63S045JO7H2ZJCBTBVH3SUIF" hidden="1">#REF!</definedName>
    <definedName name="BExF642TEGTXCI9A61ZOONJCB0U1" localSheetId="20" hidden="1">#REF!</definedName>
    <definedName name="BExF642TEGTXCI9A61ZOONJCB0U1" hidden="1">#REF!</definedName>
    <definedName name="BExF66H4GVM169LVJ9EMCTORM8Q7" localSheetId="20" hidden="1">#REF!</definedName>
    <definedName name="BExF66H4GVM169LVJ9EMCTORM8Q7" hidden="1">#REF!</definedName>
    <definedName name="BExF6786I4LDI5XCLJEAUR1360PJ" localSheetId="20" hidden="1">#REF!</definedName>
    <definedName name="BExF6786I4LDI5XCLJEAUR1360PJ" hidden="1">#REF!</definedName>
    <definedName name="BExF67O951CF8UJF3KBDNR0E83C1" localSheetId="20" hidden="1">#REF!</definedName>
    <definedName name="BExF67O951CF8UJF3KBDNR0E83C1" hidden="1">#REF!</definedName>
    <definedName name="BExF6EV7I35NVMIJGYTB6E24YVPA" localSheetId="20" hidden="1">#REF!</definedName>
    <definedName name="BExF6EV7I35NVMIJGYTB6E24YVPA" hidden="1">#REF!</definedName>
    <definedName name="BExF6FGUF393KTMBT40S5BYAFG00" localSheetId="20" hidden="1">#REF!</definedName>
    <definedName name="BExF6FGUF393KTMBT40S5BYAFG00" hidden="1">#REF!</definedName>
    <definedName name="BExF6GNYXWY8A0SY4PW1B6KJMMTM" localSheetId="20" hidden="1">#REF!</definedName>
    <definedName name="BExF6GNYXWY8A0SY4PW1B6KJMMTM" hidden="1">#REF!</definedName>
    <definedName name="BExF6IB8K74Z0AFT05GPOKKZW7C9" localSheetId="20" hidden="1">#REF!</definedName>
    <definedName name="BExF6IB8K74Z0AFT05GPOKKZW7C9" hidden="1">#REF!</definedName>
    <definedName name="BExF6NUXJI11W2IAZNAM1QWC0459" localSheetId="20" hidden="1">#REF!</definedName>
    <definedName name="BExF6NUXJI11W2IAZNAM1QWC0459" hidden="1">#REF!</definedName>
    <definedName name="BExF6QUSYQJK98BYSLTE5MXT70P5" localSheetId="20" hidden="1">#REF!</definedName>
    <definedName name="BExF6QUSYQJK98BYSLTE5MXT70P5" hidden="1">#REF!</definedName>
    <definedName name="BExF6RR76KNVIXGJOVFO8GDILKGZ" localSheetId="20" hidden="1">#REF!</definedName>
    <definedName name="BExF6RR76KNVIXGJOVFO8GDILKGZ" hidden="1">#REF!</definedName>
    <definedName name="BExF6ZE8D5CMPJPRWT6S4HM56LPF" localSheetId="20" hidden="1">#REF!</definedName>
    <definedName name="BExF6ZE8D5CMPJPRWT6S4HM56LPF" hidden="1">#REF!</definedName>
    <definedName name="BExF76FV8SF7AJK7B35AL7VTZF6D" localSheetId="20" hidden="1">#REF!</definedName>
    <definedName name="BExF76FV8SF7AJK7B35AL7VTZF6D" hidden="1">#REF!</definedName>
    <definedName name="BExF7EOIMC1OYL1N7835KGOI0FIZ" localSheetId="20" hidden="1">#REF!</definedName>
    <definedName name="BExF7EOIMC1OYL1N7835KGOI0FIZ" hidden="1">#REF!</definedName>
    <definedName name="BExF7K88K7ASGV6RAOAGH52G04VR" localSheetId="20" hidden="1">#REF!</definedName>
    <definedName name="BExF7K88K7ASGV6RAOAGH52G04VR" hidden="1">#REF!</definedName>
    <definedName name="BExF7OVDRP3LHNAF2CX4V84CKKIR" localSheetId="20" hidden="1">#REF!</definedName>
    <definedName name="BExF7OVDRP3LHNAF2CX4V84CKKIR" hidden="1">#REF!</definedName>
    <definedName name="BExF7QO41X2A2SL8UXDNP99GY7U9" localSheetId="20" hidden="1">#REF!</definedName>
    <definedName name="BExF7QO41X2A2SL8UXDNP99GY7U9" hidden="1">#REF!</definedName>
    <definedName name="BExF7R9OJ83YUOQJTFS47QJFPBA6" localSheetId="20" hidden="1">#REF!</definedName>
    <definedName name="BExF7R9OJ83YUOQJTFS47QJFPBA6" hidden="1">#REF!</definedName>
    <definedName name="BExF7WD56YB3STK93BIQP3486ZEI" localSheetId="20" hidden="1">#REF!</definedName>
    <definedName name="BExF7WD56YB3STK93BIQP3486ZEI" hidden="1">#REF!</definedName>
    <definedName name="BExF80K6MCUWS9W99VRNYEN44QQZ" localSheetId="20" hidden="1">#REF!</definedName>
    <definedName name="BExF80K6MCUWS9W99VRNYEN44QQZ" hidden="1">#REF!</definedName>
    <definedName name="BExF81GI8B8WBHXFTET68A9358BR" localSheetId="20" hidden="1">#REF!</definedName>
    <definedName name="BExF81GI8B8WBHXFTET68A9358BR" hidden="1">#REF!</definedName>
    <definedName name="BExF87GAYMXKMUTK8SVUQ03Q8QZR" localSheetId="20" hidden="1">#REF!</definedName>
    <definedName name="BExF87GAYMXKMUTK8SVUQ03Q8QZR" hidden="1">#REF!</definedName>
    <definedName name="BExGKVQARCQ9KIFMMXBXEKHDTREN" localSheetId="20" hidden="1">'[38]10.08.5 - 2008 Capital - TDBU'!#REF!</definedName>
    <definedName name="BExGKVQARCQ9KIFMMXBXEKHDTREN" hidden="1">'[38]10.08.5 - 2008 Capital - TDBU'!#REF!</definedName>
    <definedName name="BExGL97US0Y3KXXASUTVR26XLT70" localSheetId="15" hidden="1">#REF!</definedName>
    <definedName name="BExGL97US0Y3KXXASUTVR26XLT70" localSheetId="16" hidden="1">#REF!</definedName>
    <definedName name="BExGL97US0Y3KXXASUTVR26XLT70" localSheetId="20" hidden="1">#REF!</definedName>
    <definedName name="BExGL97US0Y3KXXASUTVR26XLT70" hidden="1">#REF!</definedName>
    <definedName name="BExGLA47VYPH5Q19X9DS7CT55B4I" localSheetId="20" hidden="1">#REF!</definedName>
    <definedName name="BExGLA47VYPH5Q19X9DS7CT55B4I" hidden="1">#REF!</definedName>
    <definedName name="BExGLC7R4C33RO0PID97ZPPVCW4M" localSheetId="20" hidden="1">#REF!</definedName>
    <definedName name="BExGLC7R4C33RO0PID97ZPPVCW4M" hidden="1">#REF!</definedName>
    <definedName name="BExGLFIF7HCFSHNQHKEV6RY0WCO3" localSheetId="20" hidden="1">#REF!</definedName>
    <definedName name="BExGLFIF7HCFSHNQHKEV6RY0WCO3" hidden="1">#REF!</definedName>
    <definedName name="BExGLTARRL0J772UD2TXEYAVPY6E" localSheetId="20" hidden="1">#REF!</definedName>
    <definedName name="BExGLTARRL0J772UD2TXEYAVPY6E" hidden="1">#REF!</definedName>
    <definedName name="BExGLVP1IU8K5A8J1340XFMYPR88" localSheetId="20" hidden="1">#REF!</definedName>
    <definedName name="BExGLVP1IU8K5A8J1340XFMYPR88" hidden="1">#REF!</definedName>
    <definedName name="BExGLX716Z4UBZVUK6LS4LCBZ8EV" localSheetId="20" hidden="1">#REF!</definedName>
    <definedName name="BExGLX716Z4UBZVUK6LS4LCBZ8EV" hidden="1">#REF!</definedName>
    <definedName name="BExGLYE6RZTAAWHJBG2QFJPTDS2Q" localSheetId="20" hidden="1">#REF!</definedName>
    <definedName name="BExGLYE6RZTAAWHJBG2QFJPTDS2Q" hidden="1">#REF!</definedName>
    <definedName name="BExGM4DZ65OAQP7MA4LN6QMYZOFF" localSheetId="20" hidden="1">#REF!</definedName>
    <definedName name="BExGM4DZ65OAQP7MA4LN6QMYZOFF" hidden="1">#REF!</definedName>
    <definedName name="BExGMCXCWEC9XNUOEMZ61TMI6CUO" localSheetId="20" hidden="1">#REF!</definedName>
    <definedName name="BExGMCXCWEC9XNUOEMZ61TMI6CUO" hidden="1">#REF!</definedName>
    <definedName name="BExGMJDGIH0MEPC2TUSFUCY2ROTB" localSheetId="20" hidden="1">#REF!</definedName>
    <definedName name="BExGMJDGIH0MEPC2TUSFUCY2ROTB" hidden="1">#REF!</definedName>
    <definedName name="BExGMKPW2HPKN0M0XKF3AZ8YP0D6" localSheetId="20" hidden="1">#REF!</definedName>
    <definedName name="BExGMKPW2HPKN0M0XKF3AZ8YP0D6" hidden="1">#REF!</definedName>
    <definedName name="BExGMP2F175LGL6QVSJGP6GKYHHA" localSheetId="20" hidden="1">#REF!</definedName>
    <definedName name="BExGMP2F175LGL6QVSJGP6GKYHHA" hidden="1">#REF!</definedName>
    <definedName name="BExGMPIIP8GKML2VVA8OEFL43NCS" localSheetId="20" hidden="1">#REF!</definedName>
    <definedName name="BExGMPIIP8GKML2VVA8OEFL43NCS" hidden="1">#REF!</definedName>
    <definedName name="BExGMZ3SRIXLXMWBVOXXV3M4U4YL" localSheetId="20" hidden="1">#REF!</definedName>
    <definedName name="BExGMZ3SRIXLXMWBVOXXV3M4U4YL" hidden="1">#REF!</definedName>
    <definedName name="BExGMZ3UBN48IXU1ZEFYECEMZ1IM" localSheetId="20" hidden="1">#REF!</definedName>
    <definedName name="BExGMZ3UBN48IXU1ZEFYECEMZ1IM" hidden="1">#REF!</definedName>
    <definedName name="BExGN4I0QATXNZCLZJM1KH1OIJQH" localSheetId="20" hidden="1">#REF!</definedName>
    <definedName name="BExGN4I0QATXNZCLZJM1KH1OIJQH" hidden="1">#REF!</definedName>
    <definedName name="BExGN7SOVSLKC6I1KE8PWWP0JN74" localSheetId="20" hidden="1">#REF!</definedName>
    <definedName name="BExGN7SOVSLKC6I1KE8PWWP0JN74" hidden="1">#REF!</definedName>
    <definedName name="BExGN9FZ2RWCMSY1YOBJKZMNIM9R" localSheetId="20" hidden="1">#REF!</definedName>
    <definedName name="BExGN9FZ2RWCMSY1YOBJKZMNIM9R" hidden="1">#REF!</definedName>
    <definedName name="BExGNDSIMTHOCXXG6QOGR6DA8SGG" localSheetId="20" hidden="1">#REF!</definedName>
    <definedName name="BExGNDSIMTHOCXXG6QOGR6DA8SGG" hidden="1">#REF!</definedName>
    <definedName name="BExGNG6TCN1ZSYO3FQ0I1CHBMQSK" localSheetId="20" hidden="1">#REF!</definedName>
    <definedName name="BExGNG6TCN1ZSYO3FQ0I1CHBMQSK" hidden="1">#REF!</definedName>
    <definedName name="BExGNN2YQ9BDAZXT2GLCSAPXKIM7" localSheetId="20" hidden="1">#REF!</definedName>
    <definedName name="BExGNN2YQ9BDAZXT2GLCSAPXKIM7" hidden="1">#REF!</definedName>
    <definedName name="BExGNSS0CKRPKHO25R3TDBEL2NHX" localSheetId="20" hidden="1">#REF!</definedName>
    <definedName name="BExGNSS0CKRPKHO25R3TDBEL2NHX" hidden="1">#REF!</definedName>
    <definedName name="BExGNYH0MO8NOVS85L15G0RWX4GW" localSheetId="20" hidden="1">#REF!</definedName>
    <definedName name="BExGNYH0MO8NOVS85L15G0RWX4GW" hidden="1">#REF!</definedName>
    <definedName name="BExGNZO44DEG8CGIDYSEGDUQ531R" localSheetId="20" hidden="1">#REF!</definedName>
    <definedName name="BExGNZO44DEG8CGIDYSEGDUQ531R" hidden="1">#REF!</definedName>
    <definedName name="BExGO2O0V6UYDY26AX8OSN72F77N" localSheetId="20" hidden="1">#REF!</definedName>
    <definedName name="BExGO2O0V6UYDY26AX8OSN72F77N" hidden="1">#REF!</definedName>
    <definedName name="BExGO2YUBOVLYHY1QSIHRE1KLAFV" localSheetId="20" hidden="1">#REF!</definedName>
    <definedName name="BExGO2YUBOVLYHY1QSIHRE1KLAFV" hidden="1">#REF!</definedName>
    <definedName name="BExGO70E2O70LF46V8T26YFPL4V8" localSheetId="20" hidden="1">#REF!</definedName>
    <definedName name="BExGO70E2O70LF46V8T26YFPL4V8" hidden="1">#REF!</definedName>
    <definedName name="BExGO93Y9EAR1NQIAT7U7P8UVVPK" localSheetId="20" hidden="1">'[38]10.08.4 -2008 Capital'!#REF!</definedName>
    <definedName name="BExGO93Y9EAR1NQIAT7U7P8UVVPK" hidden="1">'[38]10.08.4 -2008 Capital'!#REF!</definedName>
    <definedName name="BExGOB25QJMQCQE76MRW9X58OIOO" localSheetId="15" hidden="1">#REF!</definedName>
    <definedName name="BExGOB25QJMQCQE76MRW9X58OIOO" localSheetId="16" hidden="1">#REF!</definedName>
    <definedName name="BExGOB25QJMQCQE76MRW9X58OIOO" localSheetId="20" hidden="1">#REF!</definedName>
    <definedName name="BExGOB25QJMQCQE76MRW9X58OIOO" hidden="1">#REF!</definedName>
    <definedName name="BExGOD5OOOBUBIMGTY10CMMLMXNN" localSheetId="20" hidden="1">#REF!</definedName>
    <definedName name="BExGOD5OOOBUBIMGTY10CMMLMXNN" hidden="1">#REF!</definedName>
    <definedName name="BExGODAZKJ9EXMQZNQR5YDBSS525" localSheetId="20" hidden="1">#REF!</definedName>
    <definedName name="BExGODAZKJ9EXMQZNQR5YDBSS525" hidden="1">#REF!</definedName>
    <definedName name="BExGODR8ZSMUC11I56QHSZ686XV5" localSheetId="20" hidden="1">#REF!</definedName>
    <definedName name="BExGODR8ZSMUC11I56QHSZ686XV5" hidden="1">#REF!</definedName>
    <definedName name="BExGOT6UXUX5FVTAYL9SOBZ1D0II" localSheetId="20" hidden="1">#REF!</definedName>
    <definedName name="BExGOT6UXUX5FVTAYL9SOBZ1D0II" hidden="1">#REF!</definedName>
    <definedName name="BExGOXJDHUDPDT8I8IVGVW9J0R5Q" localSheetId="20" hidden="1">#REF!</definedName>
    <definedName name="BExGOXJDHUDPDT8I8IVGVW9J0R5Q" hidden="1">#REF!</definedName>
    <definedName name="BExGP3TT3CY5VYQJQ82YO0NMENH1" localSheetId="20" hidden="1">#REF!</definedName>
    <definedName name="BExGP3TT3CY5VYQJQ82YO0NMENH1" hidden="1">#REF!</definedName>
    <definedName name="BExGPHGT5KDOCMV2EFS4OVKTWBRD" localSheetId="20" hidden="1">#REF!</definedName>
    <definedName name="BExGPHGT5KDOCMV2EFS4OVKTWBRD" hidden="1">#REF!</definedName>
    <definedName name="BExGPID72Y4Y619LWASUQZKZHJNC" localSheetId="20" hidden="1">#REF!</definedName>
    <definedName name="BExGPID72Y4Y619LWASUQZKZHJNC" hidden="1">#REF!</definedName>
    <definedName name="BExGPPENQIANVGLVQJ77DK5JPRTB" localSheetId="20" hidden="1">#REF!</definedName>
    <definedName name="BExGPPENQIANVGLVQJ77DK5JPRTB" hidden="1">#REF!</definedName>
    <definedName name="BExGQ1ZU4967P72AHF4V1D0FOL5C" localSheetId="20" hidden="1">#REF!</definedName>
    <definedName name="BExGQ1ZU4967P72AHF4V1D0FOL5C" hidden="1">#REF!</definedName>
    <definedName name="BExGQ36ZOMR9GV8T05M605MMOY3Y" localSheetId="20" hidden="1">#REF!</definedName>
    <definedName name="BExGQ36ZOMR9GV8T05M605MMOY3Y" hidden="1">#REF!</definedName>
    <definedName name="BExGQ4E4XWZBZNG82O3F6S3IX0UD" localSheetId="20" hidden="1">#REF!</definedName>
    <definedName name="BExGQ4E4XWZBZNG82O3F6S3IX0UD" hidden="1">#REF!</definedName>
    <definedName name="BExGQ61DTJ0SBFMDFBAK3XZ9O0ZO" localSheetId="20" hidden="1">#REF!</definedName>
    <definedName name="BExGQ61DTJ0SBFMDFBAK3XZ9O0ZO" hidden="1">#REF!</definedName>
    <definedName name="BExGQ6SG9XEOD0VMBAR22YPZWSTA" localSheetId="20" hidden="1">#REF!</definedName>
    <definedName name="BExGQ6SG9XEOD0VMBAR22YPZWSTA" hidden="1">#REF!</definedName>
    <definedName name="BExGQGJ1A7LNZUS8QSMOG8UNGLMK" localSheetId="20" hidden="1">#REF!</definedName>
    <definedName name="BExGQGJ1A7LNZUS8QSMOG8UNGLMK" hidden="1">#REF!</definedName>
    <definedName name="BExGQNPYSR0588CMPYC6F4KV9EDE" localSheetId="20" hidden="1">'[38]10.08.5 - 2008 Capital - TDBU'!#REF!</definedName>
    <definedName name="BExGQNPYSR0588CMPYC6F4KV9EDE" hidden="1">'[38]10.08.5 - 2008 Capital - TDBU'!#REF!</definedName>
    <definedName name="BExGQPO7ENFEQC0NC6MC9OZR2LHY" localSheetId="15" hidden="1">#REF!</definedName>
    <definedName name="BExGQPO7ENFEQC0NC6MC9OZR2LHY" localSheetId="16" hidden="1">#REF!</definedName>
    <definedName name="BExGQPO7ENFEQC0NC6MC9OZR2LHY" localSheetId="20" hidden="1">#REF!</definedName>
    <definedName name="BExGQPO7ENFEQC0NC6MC9OZR2LHY" hidden="1">#REF!</definedName>
    <definedName name="BExGQX0H4EZMXBJTKJJE4ICJWN5O" localSheetId="20" hidden="1">#REF!</definedName>
    <definedName name="BExGQX0H4EZMXBJTKJJE4ICJWN5O" hidden="1">#REF!</definedName>
    <definedName name="BExGR4CW3WRIID17GGX4MI9ZDHFE" localSheetId="20" hidden="1">#REF!</definedName>
    <definedName name="BExGR4CW3WRIID17GGX4MI9ZDHFE" hidden="1">#REF!</definedName>
    <definedName name="BExGR65GJX27MU2OL6NI5PB8XVB4" localSheetId="20" hidden="1">#REF!</definedName>
    <definedName name="BExGR65GJX27MU2OL6NI5PB8XVB4" hidden="1">#REF!</definedName>
    <definedName name="BExGR6LQ97HETGS3CT96L4IK0JSH" localSheetId="20" hidden="1">#REF!</definedName>
    <definedName name="BExGR6LQ97HETGS3CT96L4IK0JSH" hidden="1">#REF!</definedName>
    <definedName name="BExGR9ATP2LVT7B9OCPSLJ11H9SX" localSheetId="20" hidden="1">#REF!</definedName>
    <definedName name="BExGR9ATP2LVT7B9OCPSLJ11H9SX" hidden="1">#REF!</definedName>
    <definedName name="BExGRAY9F658TSUK4B5X7SAIOYT9" localSheetId="20" hidden="1">#REF!</definedName>
    <definedName name="BExGRAY9F658TSUK4B5X7SAIOYT9" hidden="1">#REF!</definedName>
    <definedName name="BExGRD74EJWS14SU2OOJCGK9X1W7" localSheetId="20" hidden="1">#REF!</definedName>
    <definedName name="BExGRD74EJWS14SU2OOJCGK9X1W7" hidden="1">#REF!</definedName>
    <definedName name="BExGrid1">#REF!</definedName>
    <definedName name="BExGROQL61G1JF22224SED98B361" localSheetId="20" hidden="1">#REF!</definedName>
    <definedName name="BExGROQL61G1JF22224SED98B361" hidden="1">#REF!</definedName>
    <definedName name="BExGRUKVVKDL8483WI70VN2QZDGD" localSheetId="20" hidden="1">#REF!</definedName>
    <definedName name="BExGRUKVVKDL8483WI70VN2QZDGD" hidden="1">#REF!</definedName>
    <definedName name="BExGRW2VUL2RYAVBES5DLY6VH9EK" localSheetId="20" hidden="1">#REF!</definedName>
    <definedName name="BExGRW2VUL2RYAVBES5DLY6VH9EK" hidden="1">#REF!</definedName>
    <definedName name="BExGS2IWR5DUNJ1U9PAKIV8CMBNI" localSheetId="20" hidden="1">#REF!</definedName>
    <definedName name="BExGS2IWR5DUNJ1U9PAKIV8CMBNI" hidden="1">#REF!</definedName>
    <definedName name="BExGS39S7AWXR3SMHER030GA9FHE" localSheetId="20" hidden="1">#REF!</definedName>
    <definedName name="BExGS39S7AWXR3SMHER030GA9FHE" hidden="1">#REF!</definedName>
    <definedName name="BExGS69P9FFTEOPDS0MWFKF45G47" localSheetId="20" hidden="1">#REF!</definedName>
    <definedName name="BExGS69P9FFTEOPDS0MWFKF45G47" hidden="1">#REF!</definedName>
    <definedName name="BExGS6F1JFHM5MUJ1RFO50WP6D05" localSheetId="20" hidden="1">#REF!</definedName>
    <definedName name="BExGS6F1JFHM5MUJ1RFO50WP6D05" hidden="1">#REF!</definedName>
    <definedName name="BExGSA5YB5ZGE4NHDVCZ55TQAJTL" localSheetId="20" hidden="1">#REF!</definedName>
    <definedName name="BExGSA5YB5ZGE4NHDVCZ55TQAJTL" hidden="1">#REF!</definedName>
    <definedName name="BExGSCEUCQQVDEEKWJ677QTGUVTE" localSheetId="20" hidden="1">#REF!</definedName>
    <definedName name="BExGSCEUCQQVDEEKWJ677QTGUVTE" hidden="1">#REF!</definedName>
    <definedName name="BExGSCKA06Y0QKMK697YEVLEA9FY" localSheetId="20" hidden="1">#REF!</definedName>
    <definedName name="BExGSCKA06Y0QKMK697YEVLEA9FY" hidden="1">#REF!</definedName>
    <definedName name="BExGSJWJN6NORKNRWIN4W0MANCAV" localSheetId="20" hidden="1">#REF!</definedName>
    <definedName name="BExGSJWJN6NORKNRWIN4W0MANCAV" hidden="1">#REF!</definedName>
    <definedName name="BExGSQY65LH1PCKKM5WHDW83F35O" localSheetId="20" hidden="1">#REF!</definedName>
    <definedName name="BExGSQY65LH1PCKKM5WHDW83F35O" hidden="1">#REF!</definedName>
    <definedName name="BExGSSW8N9A0O48I1Z0M4ZIIXNTV" localSheetId="20" hidden="1">#REF!</definedName>
    <definedName name="BExGSSW8N9A0O48I1Z0M4ZIIXNTV" hidden="1">#REF!</definedName>
    <definedName name="BExGSYW1GKISF0PMUAK3XJK9PEW9" localSheetId="20" hidden="1">#REF!</definedName>
    <definedName name="BExGSYW1GKISF0PMUAK3XJK9PEW9" hidden="1">#REF!</definedName>
    <definedName name="BExGSZCAQHVWXD4N87N0EW2W1JGB" localSheetId="20" hidden="1">#REF!</definedName>
    <definedName name="BExGSZCAQHVWXD4N87N0EW2W1JGB" hidden="1">#REF!</definedName>
    <definedName name="BExGT0DZJB6LSF6L693UUB9EY1VQ" localSheetId="20" hidden="1">#REF!</definedName>
    <definedName name="BExGT0DZJB6LSF6L693UUB9EY1VQ" hidden="1">#REF!</definedName>
    <definedName name="BExGTGVFIF8HOQXR54SK065A8M4K" localSheetId="20" hidden="1">#REF!</definedName>
    <definedName name="BExGTGVFIF8HOQXR54SK065A8M4K" hidden="1">#REF!</definedName>
    <definedName name="BExGTHRSN7OEWMFAXSHGKS2ECVLO" localSheetId="20" hidden="1">#REF!</definedName>
    <definedName name="BExGTHRSN7OEWMFAXSHGKS2ECVLO" hidden="1">#REF!</definedName>
    <definedName name="BExGTIYX3OWPIINOGY1E4QQYSKHP" localSheetId="20" hidden="1">#REF!</definedName>
    <definedName name="BExGTIYX3OWPIINOGY1E4QQYSKHP" hidden="1">#REF!</definedName>
    <definedName name="BExGTKGUN0KUU3C0RL2LK98D8MEK" localSheetId="20" hidden="1">#REF!</definedName>
    <definedName name="BExGTKGUN0KUU3C0RL2LK98D8MEK" hidden="1">#REF!</definedName>
    <definedName name="BExGTTWOFVNMXRUNAMNODBN7I5RE" localSheetId="20" hidden="1">#REF!</definedName>
    <definedName name="BExGTTWOFVNMXRUNAMNODBN7I5RE" hidden="1">#REF!</definedName>
    <definedName name="BExGTZ046J7VMUG4YPKFN2K8TWB7" localSheetId="20" hidden="1">#REF!</definedName>
    <definedName name="BExGTZ046J7VMUG4YPKFN2K8TWB7" hidden="1">#REF!</definedName>
    <definedName name="BExGU1JWSVXPWIF3A5PN098ST2ZB" localSheetId="20" hidden="1">#REF!</definedName>
    <definedName name="BExGU1JWSVXPWIF3A5PN098ST2ZB" hidden="1">#REF!</definedName>
    <definedName name="BExGU2G9OPRZRIU9YGF6NX9FUW0J" localSheetId="20" hidden="1">#REF!</definedName>
    <definedName name="BExGU2G9OPRZRIU9YGF6NX9FUW0J" hidden="1">#REF!</definedName>
    <definedName name="BExGU6HTKLRZO8UOI3DTAM5RFDBA" localSheetId="20" hidden="1">#REF!</definedName>
    <definedName name="BExGU6HTKLRZO8UOI3DTAM5RFDBA" hidden="1">#REF!</definedName>
    <definedName name="BExGUDDZXFFQHAF4UZF8ZB1HO7H6" localSheetId="20" hidden="1">#REF!</definedName>
    <definedName name="BExGUDDZXFFQHAF4UZF8ZB1HO7H6" hidden="1">#REF!</definedName>
    <definedName name="BExGUIBXBRHGM97ZX6GBA4ZDQ79C" localSheetId="20" hidden="1">#REF!</definedName>
    <definedName name="BExGUIBXBRHGM97ZX6GBA4ZDQ79C" hidden="1">#REF!</definedName>
    <definedName name="BExGUM8D91UNPCOO4TKP9FGX85TF" localSheetId="20" hidden="1">#REF!</definedName>
    <definedName name="BExGUM8D91UNPCOO4TKP9FGX85TF" hidden="1">#REF!</definedName>
    <definedName name="BExGUPZ6NZ68L2EDDWJAMBIUVHKZ" localSheetId="20" hidden="1">#REF!</definedName>
    <definedName name="BExGUPZ6NZ68L2EDDWJAMBIUVHKZ" hidden="1">#REF!</definedName>
    <definedName name="BExGUQF9N9FKI7S0H30WUAEB5LPD" localSheetId="20" hidden="1">#REF!</definedName>
    <definedName name="BExGUQF9N9FKI7S0H30WUAEB5LPD" hidden="1">#REF!</definedName>
    <definedName name="BExGUR6BA03XPBK60SQUW197GJ5X" localSheetId="20" hidden="1">#REF!</definedName>
    <definedName name="BExGUR6BA03XPBK60SQUW197GJ5X" hidden="1">#REF!</definedName>
    <definedName name="BExGUVIP60TA4B7X2PFGMBFUSKGX" localSheetId="20" hidden="1">#REF!</definedName>
    <definedName name="BExGUVIP60TA4B7X2PFGMBFUSKGX" hidden="1">#REF!</definedName>
    <definedName name="BExGUZKF06F209XL1IZWVJEQ82EE" localSheetId="20" hidden="1">#REF!</definedName>
    <definedName name="BExGUZKF06F209XL1IZWVJEQ82EE" hidden="1">#REF!</definedName>
    <definedName name="BExGV2EVT380QHD4AP2RL9MR8L5L" localSheetId="20" hidden="1">#REF!</definedName>
    <definedName name="BExGV2EVT380QHD4AP2RL9MR8L5L" hidden="1">#REF!</definedName>
    <definedName name="BExGVLQV4WLYED6UCM4VDJMDIODS" localSheetId="20" hidden="1">#REF!</definedName>
    <definedName name="BExGVLQV4WLYED6UCM4VDJMDIODS" hidden="1">#REF!</definedName>
    <definedName name="BExGVQE1PH4Q46QUDV9GXTDJHSBP" localSheetId="20" hidden="1">#REF!</definedName>
    <definedName name="BExGVQE1PH4Q46QUDV9GXTDJHSBP" hidden="1">#REF!</definedName>
    <definedName name="BExGVQUBBCND7N6N8UAFSJ3XMO2K" localSheetId="20" hidden="1">#REF!</definedName>
    <definedName name="BExGVQUBBCND7N6N8UAFSJ3XMO2K" hidden="1">#REF!</definedName>
    <definedName name="BExGVV6OOLDQ3TXZK51TTF3YX0WN" localSheetId="20" hidden="1">#REF!</definedName>
    <definedName name="BExGVV6OOLDQ3TXZK51TTF3YX0WN" hidden="1">#REF!</definedName>
    <definedName name="BExGW0KVS7U0C87XFZ78QW991IEV" localSheetId="20" hidden="1">#REF!</definedName>
    <definedName name="BExGW0KVS7U0C87XFZ78QW991IEV" hidden="1">#REF!</definedName>
    <definedName name="BExGW2Z7AMPG6H9EXA9ML6EZVGGA" localSheetId="20" hidden="1">#REF!</definedName>
    <definedName name="BExGW2Z7AMPG6H9EXA9ML6EZVGGA" hidden="1">#REF!</definedName>
    <definedName name="BExGW4XE5DHK7GOPYX8TT51CSG15" localSheetId="20" hidden="1">#REF!</definedName>
    <definedName name="BExGW4XE5DHK7GOPYX8TT51CSG15" hidden="1">#REF!</definedName>
    <definedName name="BExGW5Z3L0OX08J99L459WM06JKA" localSheetId="20" hidden="1">#REF!</definedName>
    <definedName name="BExGW5Z3L0OX08J99L459WM06JKA" hidden="1">#REF!</definedName>
    <definedName name="BExGWABG5VT5XO1A196RK61AXA8C" localSheetId="20" hidden="1">#REF!</definedName>
    <definedName name="BExGWABG5VT5XO1A196RK61AXA8C" hidden="1">#REF!</definedName>
    <definedName name="BExGWE2ENPKKCYNRTQY1QKPWFLXM" localSheetId="20" hidden="1">#REF!</definedName>
    <definedName name="BExGWE2ENPKKCYNRTQY1QKPWFLXM" hidden="1">#REF!</definedName>
    <definedName name="BExGWEO0JDG84NYLEAV5NSOAGMJZ" localSheetId="20" hidden="1">#REF!</definedName>
    <definedName name="BExGWEO0JDG84NYLEAV5NSOAGMJZ" hidden="1">#REF!</definedName>
    <definedName name="BExGWK7JDSL1M5WZ40HT9QXFJ1EM" localSheetId="20" hidden="1">#REF!</definedName>
    <definedName name="BExGWK7JDSL1M5WZ40HT9QXFJ1EM" hidden="1">#REF!</definedName>
    <definedName name="BExGWLEOC70Z8QAJTPT2PDHTNM4L" localSheetId="20" hidden="1">#REF!</definedName>
    <definedName name="BExGWLEOC70Z8QAJTPT2PDHTNM4L" hidden="1">#REF!</definedName>
    <definedName name="BExGWNCXLCRTLBVMTXYJ5PHQI6SS" localSheetId="20" hidden="1">#REF!</definedName>
    <definedName name="BExGWNCXLCRTLBVMTXYJ5PHQI6SS" hidden="1">#REF!</definedName>
    <definedName name="BExGWTI0YD2LF2C6MIF0OB6ZIWO7" localSheetId="20" hidden="1">#REF!</definedName>
    <definedName name="BExGWTI0YD2LF2C6MIF0OB6ZIWO7" hidden="1">#REF!</definedName>
    <definedName name="BExGX6U988MCFIGDA1282F92U9AA" localSheetId="20" hidden="1">#REF!</definedName>
    <definedName name="BExGX6U988MCFIGDA1282F92U9AA" hidden="1">#REF!</definedName>
    <definedName name="BExGX7FTB1CKAT5HUW6H531FIY6I" localSheetId="20" hidden="1">#REF!</definedName>
    <definedName name="BExGX7FTB1CKAT5HUW6H531FIY6I" hidden="1">#REF!</definedName>
    <definedName name="BExGX9DVACJQIZ4GH6YAD2A7F70O" localSheetId="20" hidden="1">#REF!</definedName>
    <definedName name="BExGX9DVACJQIZ4GH6YAD2A7F70O" hidden="1">#REF!</definedName>
    <definedName name="BExGXDVP2S2Y8Z8Q43I78RCIK3DD" localSheetId="20" hidden="1">#REF!</definedName>
    <definedName name="BExGXDVP2S2Y8Z8Q43I78RCIK3DD" hidden="1">#REF!</definedName>
    <definedName name="BExGXJ9W5JU7TT9S0BKL5Y6VVB39" localSheetId="20" hidden="1">#REF!</definedName>
    <definedName name="BExGXJ9W5JU7TT9S0BKL5Y6VVB39" hidden="1">#REF!</definedName>
    <definedName name="BExGXR7QM0F3N9OYEG8V5BZ8X5WD" localSheetId="20" hidden="1">#REF!</definedName>
    <definedName name="BExGXR7QM0F3N9OYEG8V5BZ8X5WD" hidden="1">#REF!</definedName>
    <definedName name="BExGXWB73RJ4BASBQTQ8EY0EC1EB" localSheetId="20" hidden="1">#REF!</definedName>
    <definedName name="BExGXWB73RJ4BASBQTQ8EY0EC1EB" hidden="1">#REF!</definedName>
    <definedName name="BExGXZ0ABB43C7SMRKZHWOSU9EQX" localSheetId="20" hidden="1">#REF!</definedName>
    <definedName name="BExGXZ0ABB43C7SMRKZHWOSU9EQX" hidden="1">#REF!</definedName>
    <definedName name="BExGY6SU3SYVCJ3AG2ITY59SAZ5A" localSheetId="20" hidden="1">#REF!</definedName>
    <definedName name="BExGY6SU3SYVCJ3AG2ITY59SAZ5A" hidden="1">#REF!</definedName>
    <definedName name="BExGY6YA4P5KMY2VHT0DYK3YTFAX" localSheetId="20" hidden="1">#REF!</definedName>
    <definedName name="BExGY6YA4P5KMY2VHT0DYK3YTFAX" hidden="1">#REF!</definedName>
    <definedName name="BExGY8G88PVVRYHPHRPJZFSX6HSC" localSheetId="20" hidden="1">#REF!</definedName>
    <definedName name="BExGY8G88PVVRYHPHRPJZFSX6HSC" hidden="1">#REF!</definedName>
    <definedName name="BExGYC718HTZ80PNKYPVIYGRJVF6" localSheetId="20" hidden="1">#REF!</definedName>
    <definedName name="BExGYC718HTZ80PNKYPVIYGRJVF6" hidden="1">#REF!</definedName>
    <definedName name="BExGYCNATXZY2FID93B17YWIPPRD" localSheetId="20" hidden="1">#REF!</definedName>
    <definedName name="BExGYCNATXZY2FID93B17YWIPPRD" hidden="1">#REF!</definedName>
    <definedName name="BExGYGJJJ3BBCQAOA51WHP01HN73" localSheetId="20" hidden="1">#REF!</definedName>
    <definedName name="BExGYGJJJ3BBCQAOA51WHP01HN73" hidden="1">#REF!</definedName>
    <definedName name="BExGYM8ENAT3UBFMSYCXQG8WWNVD" localSheetId="20" hidden="1">#REF!</definedName>
    <definedName name="BExGYM8ENAT3UBFMSYCXQG8WWNVD" hidden="1">#REF!</definedName>
    <definedName name="BExGYMZGRR1O4VFUEQP4FPY9SFY6" localSheetId="20" hidden="1">#REF!</definedName>
    <definedName name="BExGYMZGRR1O4VFUEQP4FPY9SFY6" hidden="1">#REF!</definedName>
    <definedName name="BExGYOS6TV2C72PLRFU8RP1I58GY" localSheetId="20" hidden="1">#REF!</definedName>
    <definedName name="BExGYOS6TV2C72PLRFU8RP1I58GY" hidden="1">#REF!</definedName>
    <definedName name="BExGZ7NXZ0IBS44C2NZ9VMD6T6K2" localSheetId="20" hidden="1">#REF!</definedName>
    <definedName name="BExGZ7NXZ0IBS44C2NZ9VMD6T6K2" hidden="1">#REF!</definedName>
    <definedName name="BExGZJ78ZWZCVHZ3BKEKFJZ6MAEO" localSheetId="20" hidden="1">#REF!</definedName>
    <definedName name="BExGZJ78ZWZCVHZ3BKEKFJZ6MAEO" hidden="1">#REF!</definedName>
    <definedName name="BExGZOLH2QV73J3M9IWDDPA62TP4" localSheetId="20" hidden="1">#REF!</definedName>
    <definedName name="BExGZOLH2QV73J3M9IWDDPA62TP4" hidden="1">#REF!</definedName>
    <definedName name="BExGZP1PWGFKVVVN4YDIS22DZPCR" localSheetId="20" hidden="1">#REF!</definedName>
    <definedName name="BExGZP1PWGFKVVVN4YDIS22DZPCR" hidden="1">#REF!</definedName>
    <definedName name="BExGZTE5G7WSV7TYWM2Q9FW7YZUN" localSheetId="20" hidden="1">#REF!</definedName>
    <definedName name="BExGZTE5G7WSV7TYWM2Q9FW7YZUN" hidden="1">#REF!</definedName>
    <definedName name="BExH00L21GZX5YJJGVMOAWBERLP5" localSheetId="20" hidden="1">#REF!</definedName>
    <definedName name="BExH00L21GZX5YJJGVMOAWBERLP5" hidden="1">#REF!</definedName>
    <definedName name="BExH02ZD6VAY1KQLAQYBBI6WWIZB" localSheetId="20" hidden="1">#REF!</definedName>
    <definedName name="BExH02ZD6VAY1KQLAQYBBI6WWIZB" hidden="1">#REF!</definedName>
    <definedName name="BExH08Z6LQCGGSGSAILMHX4X7JMD" localSheetId="20" hidden="1">#REF!</definedName>
    <definedName name="BExH08Z6LQCGGSGSAILMHX4X7JMD" hidden="1">#REF!</definedName>
    <definedName name="BExH0BTMHS9M9C5JSOE1DK83LRCJ" localSheetId="20" hidden="1">#REF!</definedName>
    <definedName name="BExH0BTMHS9M9C5JSOE1DK83LRCJ" hidden="1">#REF!</definedName>
    <definedName name="BExH0KT9Z8HEVRRQRGQ8YHXRLIJA" localSheetId="20" hidden="1">#REF!</definedName>
    <definedName name="BExH0KT9Z8HEVRRQRGQ8YHXRLIJA" hidden="1">#REF!</definedName>
    <definedName name="BExH0M0FDN12YBOCKL3XL2Z7T7Y8" localSheetId="20" hidden="1">#REF!</definedName>
    <definedName name="BExH0M0FDN12YBOCKL3XL2Z7T7Y8" hidden="1">#REF!</definedName>
    <definedName name="BExH0O9G06YPZ5TN9RYT326I1CP2" localSheetId="20" hidden="1">#REF!</definedName>
    <definedName name="BExH0O9G06YPZ5TN9RYT326I1CP2" hidden="1">#REF!</definedName>
    <definedName name="BExH0WNJAKTJRCKMTX8O4KNMIIJM" localSheetId="20" hidden="1">#REF!</definedName>
    <definedName name="BExH0WNJAKTJRCKMTX8O4KNMIIJM" hidden="1">#REF!</definedName>
    <definedName name="BExH12Y4WX542WI3ZEM15AK4UM9J" localSheetId="20" hidden="1">#REF!</definedName>
    <definedName name="BExH12Y4WX542WI3ZEM15AK4UM9J" hidden="1">#REF!</definedName>
    <definedName name="BExH181KIGEHYN7U002O6RO1HZT7" localSheetId="20" hidden="1">#REF!</definedName>
    <definedName name="BExH181KIGEHYN7U002O6RO1HZT7" hidden="1">#REF!</definedName>
    <definedName name="BExH1COQB2N3U6HS9ITOY40KC6JA" localSheetId="20" hidden="1">#REF!</definedName>
    <definedName name="BExH1COQB2N3U6HS9ITOY40KC6JA" hidden="1">#REF!</definedName>
    <definedName name="BExH1FDTQXR9QQ31WDB7OPXU7MPT" localSheetId="20" hidden="1">#REF!</definedName>
    <definedName name="BExH1FDTQXR9QQ31WDB7OPXU7MPT" hidden="1">#REF!</definedName>
    <definedName name="BExH1FOMEUIJNIDJAUY0ZQFBJSY9" localSheetId="20" hidden="1">#REF!</definedName>
    <definedName name="BExH1FOMEUIJNIDJAUY0ZQFBJSY9" hidden="1">#REF!</definedName>
    <definedName name="BExH1G4VNA3BFMF4QK35PGSBQJMB" localSheetId="20" hidden="1">#REF!</definedName>
    <definedName name="BExH1G4VNA3BFMF4QK35PGSBQJMB" hidden="1">#REF!</definedName>
    <definedName name="BExH1JFFHEBFX9BWJMNIA3N66R3Z" localSheetId="20" hidden="1">#REF!</definedName>
    <definedName name="BExH1JFFHEBFX9BWJMNIA3N66R3Z" hidden="1">#REF!</definedName>
    <definedName name="BExH1UYUZFQ3NQ2E3UANIJDR9U8U" localSheetId="20" hidden="1">#REF!</definedName>
    <definedName name="BExH1UYUZFQ3NQ2E3UANIJDR9U8U" hidden="1">#REF!</definedName>
    <definedName name="BExH1Z0GIUSVTF2H1G1I3PDGBNK2" localSheetId="20" hidden="1">#REF!</definedName>
    <definedName name="BExH1Z0GIUSVTF2H1G1I3PDGBNK2" hidden="1">#REF!</definedName>
    <definedName name="BExH225UTM6S9FW4MUDZS7F1PQSH" localSheetId="20" hidden="1">#REF!</definedName>
    <definedName name="BExH225UTM6S9FW4MUDZS7F1PQSH" hidden="1">#REF!</definedName>
    <definedName name="BExH22M34C4EGB2M8ES9K2NBZFIX" localSheetId="20" hidden="1">#REF!</definedName>
    <definedName name="BExH22M34C4EGB2M8ES9K2NBZFIX" hidden="1">#REF!</definedName>
    <definedName name="BExH23271RF7AYZ542KHQTH68GQ7" localSheetId="20" hidden="1">#REF!</definedName>
    <definedName name="BExH23271RF7AYZ542KHQTH68GQ7" hidden="1">#REF!</definedName>
    <definedName name="BExH25LUU6AHETNY34SBU5S7UOWE" localSheetId="20" hidden="1">'[38]10.08.4 -2008 Capital'!#REF!</definedName>
    <definedName name="BExH25LUU6AHETNY34SBU5S7UOWE" hidden="1">'[38]10.08.4 -2008 Capital'!#REF!</definedName>
    <definedName name="BExH2EARUVJ0LN7IJXI0S3UWLQB2" localSheetId="15" hidden="1">#REF!</definedName>
    <definedName name="BExH2EARUVJ0LN7IJXI0S3UWLQB2" localSheetId="16" hidden="1">#REF!</definedName>
    <definedName name="BExH2EARUVJ0LN7IJXI0S3UWLQB2" localSheetId="20" hidden="1">#REF!</definedName>
    <definedName name="BExH2EARUVJ0LN7IJXI0S3UWLQB2" hidden="1">#REF!</definedName>
    <definedName name="BExH2GJQR4JALNB314RY0LDI49VH" localSheetId="20" hidden="1">#REF!</definedName>
    <definedName name="BExH2GJQR4JALNB314RY0LDI49VH" hidden="1">#REF!</definedName>
    <definedName name="BExH2JZR49T7644JFVE7B3N7RZM9" localSheetId="20" hidden="1">#REF!</definedName>
    <definedName name="BExH2JZR49T7644JFVE7B3N7RZM9" hidden="1">#REF!</definedName>
    <definedName name="BExH2UHF0QTJG107MULYB16WBJM9" localSheetId="20" hidden="1">#REF!</definedName>
    <definedName name="BExH2UHF0QTJG107MULYB16WBJM9" hidden="1">#REF!</definedName>
    <definedName name="BExH2WKXV8X5S2GSBBTWGI0NLNAH" localSheetId="20" hidden="1">#REF!</definedName>
    <definedName name="BExH2WKXV8X5S2GSBBTWGI0NLNAH" hidden="1">#REF!</definedName>
    <definedName name="BExH2XS1UFYFGU0S0EBXX90W2WE8" localSheetId="20" hidden="1">#REF!</definedName>
    <definedName name="BExH2XS1UFYFGU0S0EBXX90W2WE8" hidden="1">#REF!</definedName>
    <definedName name="BExH2XS2TND9SB0GC295R4FP6K5Y" localSheetId="20" hidden="1">#REF!</definedName>
    <definedName name="BExH2XS2TND9SB0GC295R4FP6K5Y" hidden="1">#REF!</definedName>
    <definedName name="BExH2ZA0SZ4SSITL50NA8LZ3OEX6" localSheetId="20" hidden="1">#REF!</definedName>
    <definedName name="BExH2ZA0SZ4SSITL50NA8LZ3OEX6" hidden="1">#REF!</definedName>
    <definedName name="BExH31Z3JNVJPESWKXHILGXZHP2M" localSheetId="20" hidden="1">#REF!</definedName>
    <definedName name="BExH31Z3JNVJPESWKXHILGXZHP2M" hidden="1">#REF!</definedName>
    <definedName name="BExH3E9HZ3QJCDZW7WI7YACFQCHE" localSheetId="20" hidden="1">#REF!</definedName>
    <definedName name="BExH3E9HZ3QJCDZW7WI7YACFQCHE" hidden="1">#REF!</definedName>
    <definedName name="BExH3IRB6764RQ5HBYRLH6XCT29X" localSheetId="20" hidden="1">#REF!</definedName>
    <definedName name="BExH3IRB6764RQ5HBYRLH6XCT29X" hidden="1">#REF!</definedName>
    <definedName name="BExIG2U8V6RSB47SXLCQG3Q68YRO" localSheetId="20" hidden="1">#REF!</definedName>
    <definedName name="BExIG2U8V6RSB47SXLCQG3Q68YRO" hidden="1">#REF!</definedName>
    <definedName name="BExIGHTQQA3RHXK08CNPZI42FVSA" localSheetId="20" hidden="1">#REF!</definedName>
    <definedName name="BExIGHTQQA3RHXK08CNPZI42FVSA" hidden="1">#REF!</definedName>
    <definedName name="BExIGJBO8R13LV7CZ7C1YCP974NN" localSheetId="20" hidden="1">#REF!</definedName>
    <definedName name="BExIGJBO8R13LV7CZ7C1YCP974NN" hidden="1">#REF!</definedName>
    <definedName name="BExIGWT86FPOEYTI8GXCGU5Y3KGK" localSheetId="20" hidden="1">#REF!</definedName>
    <definedName name="BExIGWT86FPOEYTI8GXCGU5Y3KGK" hidden="1">#REF!</definedName>
    <definedName name="BExIHBHXA7E7VUTBVHXXXCH3A5CL" localSheetId="20" hidden="1">#REF!</definedName>
    <definedName name="BExIHBHXA7E7VUTBVHXXXCH3A5CL" hidden="1">#REF!</definedName>
    <definedName name="BExIHBHXMSLC44C053SZXSYO7792" localSheetId="20" hidden="1">#REF!</definedName>
    <definedName name="BExIHBHXMSLC44C053SZXSYO7792" hidden="1">#REF!</definedName>
    <definedName name="BExIHPQCQTGEW8QOJVIQ4VX0P6DX" localSheetId="20" hidden="1">#REF!</definedName>
    <definedName name="BExIHPQCQTGEW8QOJVIQ4VX0P6DX" hidden="1">#REF!</definedName>
    <definedName name="BExII1F6IZ6R90QEXPQM797VHUO1" localSheetId="20" hidden="1">#REF!</definedName>
    <definedName name="BExII1F6IZ6R90QEXPQM797VHUO1" hidden="1">#REF!</definedName>
    <definedName name="BExII1KN91Q7DLW0UB7W2TJ5ACT9" localSheetId="20" hidden="1">#REF!</definedName>
    <definedName name="BExII1KN91Q7DLW0UB7W2TJ5ACT9" hidden="1">#REF!</definedName>
    <definedName name="BExII50LI8I0CDOOZEMIVHVA2V95" localSheetId="20" hidden="1">#REF!</definedName>
    <definedName name="BExII50LI8I0CDOOZEMIVHVA2V95" hidden="1">#REF!</definedName>
    <definedName name="BExIIFCX8RFH3G7Q9DCH3HTE14VA" localSheetId="20" hidden="1">#REF!</definedName>
    <definedName name="BExIIFCX8RFH3G7Q9DCH3HTE14VA" hidden="1">#REF!</definedName>
    <definedName name="BExIIXMY38TQD12CVV4S57L3I809" localSheetId="20" hidden="1">#REF!</definedName>
    <definedName name="BExIIXMY38TQD12CVV4S57L3I809" hidden="1">#REF!</definedName>
    <definedName name="BExIIY37NEVU2LGS1JE4VR9AN6W4" localSheetId="20" hidden="1">#REF!</definedName>
    <definedName name="BExIIY37NEVU2LGS1JE4VR9AN6W4" hidden="1">#REF!</definedName>
    <definedName name="BExIIYJAGXR8TPZ1KCYM7EGJ79UW" localSheetId="20" hidden="1">#REF!</definedName>
    <definedName name="BExIIYJAGXR8TPZ1KCYM7EGJ79UW" hidden="1">#REF!</definedName>
    <definedName name="BExIJ3160YCWGAVEU0208ZGXXG3P" localSheetId="20" hidden="1">#REF!</definedName>
    <definedName name="BExIJ3160YCWGAVEU0208ZGXXG3P" hidden="1">#REF!</definedName>
    <definedName name="BExIJDISZXEB5UAC55IINOQUBK6X" localSheetId="20" hidden="1">#REF!</definedName>
    <definedName name="BExIJDISZXEB5UAC55IINOQUBK6X" hidden="1">#REF!</definedName>
    <definedName name="BExIJFGZJ5ED9D6KAY4PGQYLELAX" localSheetId="20" hidden="1">#REF!</definedName>
    <definedName name="BExIJFGZJ5ED9D6KAY4PGQYLELAX" hidden="1">#REF!</definedName>
    <definedName name="BExIJQK80ZEKSTV62E59AYJYUNLI" localSheetId="20" hidden="1">#REF!</definedName>
    <definedName name="BExIJQK80ZEKSTV62E59AYJYUNLI" hidden="1">#REF!</definedName>
    <definedName name="BExIJRLX3M0YQLU1D5Y9V7HM5QNM" localSheetId="20" hidden="1">#REF!</definedName>
    <definedName name="BExIJRLX3M0YQLU1D5Y9V7HM5QNM" hidden="1">#REF!</definedName>
    <definedName name="BExIJRR7W9PHGSRPIHRCMIOQUEQQ" localSheetId="20" hidden="1">'[38]10.08.4 -2008 Capital'!#REF!</definedName>
    <definedName name="BExIJRR7W9PHGSRPIHRCMIOQUEQQ" hidden="1">'[38]10.08.4 -2008 Capital'!#REF!</definedName>
    <definedName name="BExIJV22J0QA7286KNPMHO1ZUCB3" localSheetId="15" hidden="1">#REF!</definedName>
    <definedName name="BExIJV22J0QA7286KNPMHO1ZUCB3" localSheetId="16" hidden="1">#REF!</definedName>
    <definedName name="BExIJV22J0QA7286KNPMHO1ZUCB3" localSheetId="20" hidden="1">#REF!</definedName>
    <definedName name="BExIJV22J0QA7286KNPMHO1ZUCB3" hidden="1">#REF!</definedName>
    <definedName name="BExIJVI6OC7B6ZE9V4PAOYZXKNER" localSheetId="20" hidden="1">#REF!</definedName>
    <definedName name="BExIJVI6OC7B6ZE9V4PAOYZXKNER" hidden="1">#REF!</definedName>
    <definedName name="BExIJWK0NGTGQ4X7D5VIVXD14JHI" localSheetId="20" hidden="1">#REF!</definedName>
    <definedName name="BExIJWK0NGTGQ4X7D5VIVXD14JHI" hidden="1">#REF!</definedName>
    <definedName name="BExIJWPCIYINEJUTXU74VK7WG031" localSheetId="20" hidden="1">#REF!</definedName>
    <definedName name="BExIJWPCIYINEJUTXU74VK7WG031" hidden="1">#REF!</definedName>
    <definedName name="BExIKHTXPZR5A8OHB6HDP6QWDHAD" localSheetId="20" hidden="1">#REF!</definedName>
    <definedName name="BExIKHTXPZR5A8OHB6HDP6QWDHAD" hidden="1">#REF!</definedName>
    <definedName name="BExIKMMJOETSAXJYY1SIKM58LMA2" localSheetId="20" hidden="1">#REF!</definedName>
    <definedName name="BExIKMMJOETSAXJYY1SIKM58LMA2" hidden="1">#REF!</definedName>
    <definedName name="BExIKPRX2YB5WTLBU2ZIIDKTSZLB" localSheetId="20" hidden="1">#REF!</definedName>
    <definedName name="BExIKPRX2YB5WTLBU2ZIIDKTSZLB" hidden="1">#REF!</definedName>
    <definedName name="BExIKRF6AQ6VOO9KCIWSM6FY8M7D" localSheetId="20" hidden="1">#REF!</definedName>
    <definedName name="BExIKRF6AQ6VOO9KCIWSM6FY8M7D" hidden="1">#REF!</definedName>
    <definedName name="BExIKTYZESFT3LC0ASFMFKSE0D1X" localSheetId="20" hidden="1">#REF!</definedName>
    <definedName name="BExIKTYZESFT3LC0ASFMFKSE0D1X" hidden="1">#REF!</definedName>
    <definedName name="BExIKXVA6M8K0PTRYAGXS666L335" localSheetId="20" hidden="1">#REF!</definedName>
    <definedName name="BExIKXVA6M8K0PTRYAGXS666L335" hidden="1">#REF!</definedName>
    <definedName name="BExIL0PMZ2SXK9R6MLP43KBU1J2P" localSheetId="20" hidden="1">#REF!</definedName>
    <definedName name="BExIL0PMZ2SXK9R6MLP43KBU1J2P" hidden="1">#REF!</definedName>
    <definedName name="BExIL5T2MJ6DXYOSVERRYGMDV89B" localSheetId="20" hidden="1">#REF!</definedName>
    <definedName name="BExIL5T2MJ6DXYOSVERRYGMDV89B" hidden="1">#REF!</definedName>
    <definedName name="BExILAAXRTRAD18K74M6MGUEEPUM" localSheetId="20" hidden="1">#REF!</definedName>
    <definedName name="BExILAAXRTRAD18K74M6MGUEEPUM" hidden="1">#REF!</definedName>
    <definedName name="BExILG5F338C0FFLMVOKMKF8X5ZP" localSheetId="20" hidden="1">#REF!</definedName>
    <definedName name="BExILG5F338C0FFLMVOKMKF8X5ZP" hidden="1">#REF!</definedName>
    <definedName name="BExILGQTQM0HOD0BJI90YO7GOIN3" localSheetId="20" hidden="1">#REF!</definedName>
    <definedName name="BExILGQTQM0HOD0BJI90YO7GOIN3" hidden="1">#REF!</definedName>
    <definedName name="BExILT6PKNSR8V0R7UE4IRG590K6" localSheetId="20" hidden="1">'[38]10.08.2 - 2008 Expense'!#REF!</definedName>
    <definedName name="BExILT6PKNSR8V0R7UE4IRG590K6" hidden="1">'[38]10.08.2 - 2008 Expense'!#REF!</definedName>
    <definedName name="BExIM2RXHXBO63HBPUTHF775IIRY" localSheetId="15" hidden="1">#REF!</definedName>
    <definedName name="BExIM2RXHXBO63HBPUTHF775IIRY" localSheetId="16" hidden="1">#REF!</definedName>
    <definedName name="BExIM2RXHXBO63HBPUTHF775IIRY" localSheetId="20" hidden="1">#REF!</definedName>
    <definedName name="BExIM2RXHXBO63HBPUTHF775IIRY" hidden="1">#REF!</definedName>
    <definedName name="BExIM2RXYS5BGYBDMFLU1RE8039Z" localSheetId="20" hidden="1">#REF!</definedName>
    <definedName name="BExIM2RXYS5BGYBDMFLU1RE8039Z" hidden="1">#REF!</definedName>
    <definedName name="BExIM2X90EG7J3TG4STQ3J1OK4O0" localSheetId="20" hidden="1">'[38]10.08.5 - 2008 Capital - TDBU'!#REF!</definedName>
    <definedName name="BExIM2X90EG7J3TG4STQ3J1OK4O0" hidden="1">'[38]10.08.5 - 2008 Capital - TDBU'!#REF!</definedName>
    <definedName name="BExIM9DBUB7ZGF4B20FVUO9QGOX2" localSheetId="15" hidden="1">#REF!</definedName>
    <definedName name="BExIM9DBUB7ZGF4B20FVUO9QGOX2" localSheetId="16" hidden="1">#REF!</definedName>
    <definedName name="BExIM9DBUB7ZGF4B20FVUO9QGOX2" localSheetId="20" hidden="1">#REF!</definedName>
    <definedName name="BExIM9DBUB7ZGF4B20FVUO9QGOX2" hidden="1">#REF!</definedName>
    <definedName name="BExIMGK9Z94TFPWWZFMD10HV0IF6" localSheetId="20" hidden="1">#REF!</definedName>
    <definedName name="BExIMGK9Z94TFPWWZFMD10HV0IF6" hidden="1">#REF!</definedName>
    <definedName name="BExIMPEGKG18TELVC33T4OQTNBWC" localSheetId="20" hidden="1">#REF!</definedName>
    <definedName name="BExIMPEGKG18TELVC33T4OQTNBWC" hidden="1">#REF!</definedName>
    <definedName name="BExIN4OR435DL1US13JQPOQK8GD5" localSheetId="20" hidden="1">#REF!</definedName>
    <definedName name="BExIN4OR435DL1US13JQPOQK8GD5" hidden="1">#REF!</definedName>
    <definedName name="BExINHQ27UK79IK88M14P1SXMGYY" localSheetId="20" hidden="1">#REF!</definedName>
    <definedName name="BExINHQ27UK79IK88M14P1SXMGYY" hidden="1">#REF!</definedName>
    <definedName name="BExINI6A7H3KSFRFA6UBBDPKW37F" localSheetId="20" hidden="1">#REF!</definedName>
    <definedName name="BExINI6A7H3KSFRFA6UBBDPKW37F" hidden="1">#REF!</definedName>
    <definedName name="BExINIMK8XC3JOBT2EXYFHHH52H0" localSheetId="20" hidden="1">#REF!</definedName>
    <definedName name="BExINIMK8XC3JOBT2EXYFHHH52H0" hidden="1">#REF!</definedName>
    <definedName name="BExINLGZTO4C3BAICP3I2AXI0L3L" localSheetId="20" hidden="1">#REF!</definedName>
    <definedName name="BExINLGZTO4C3BAICP3I2AXI0L3L" hidden="1">#REF!</definedName>
    <definedName name="BExINLX401ZKEGWU168DS4JUM2J6" localSheetId="20" hidden="1">#REF!</definedName>
    <definedName name="BExINLX401ZKEGWU168DS4JUM2J6" hidden="1">#REF!</definedName>
    <definedName name="BExINMYYJO1FTV1CZF6O5XCFAMQX" localSheetId="20" hidden="1">#REF!</definedName>
    <definedName name="BExINMYYJO1FTV1CZF6O5XCFAMQX" hidden="1">#REF!</definedName>
    <definedName name="BExINP2H4KI05FRFV5PKZFE00HKO" localSheetId="20" hidden="1">#REF!</definedName>
    <definedName name="BExINP2H4KI05FRFV5PKZFE00HKO" hidden="1">#REF!</definedName>
    <definedName name="BExINT417AAWC51ZA8X4TDJCY0QV" localSheetId="20" hidden="1">#REF!</definedName>
    <definedName name="BExINT417AAWC51ZA8X4TDJCY0QV" hidden="1">#REF!</definedName>
    <definedName name="BExINT42RM5ESUGKCUN8IZFWEV0D" localSheetId="20" hidden="1">'[38]10.08.5 - 2008 Capital - TDBU'!#REF!</definedName>
    <definedName name="BExINT42RM5ESUGKCUN8IZFWEV0D" hidden="1">'[38]10.08.5 - 2008 Capital - TDBU'!#REF!</definedName>
    <definedName name="BExINZELBUXH0OXC3SAGC2RI7DXI" localSheetId="15" hidden="1">#REF!</definedName>
    <definedName name="BExINZELBUXH0OXC3SAGC2RI7DXI" localSheetId="16" hidden="1">#REF!</definedName>
    <definedName name="BExINZELBUXH0OXC3SAGC2RI7DXI" localSheetId="20" hidden="1">#REF!</definedName>
    <definedName name="BExINZELBUXH0OXC3SAGC2RI7DXI" hidden="1">#REF!</definedName>
    <definedName name="BExINZELVWYGU876QUUZCIMXPBQC" localSheetId="20" hidden="1">#REF!</definedName>
    <definedName name="BExINZELVWYGU876QUUZCIMXPBQC" hidden="1">#REF!</definedName>
    <definedName name="BExIOCQUQHKUU1KONGSDOLQTQEIC" localSheetId="20" hidden="1">#REF!</definedName>
    <definedName name="BExIOCQUQHKUU1KONGSDOLQTQEIC" hidden="1">#REF!</definedName>
    <definedName name="BExIOFL8Y5O61VLKTB4H20IJNWS1" localSheetId="20" hidden="1">#REF!</definedName>
    <definedName name="BExIOFL8Y5O61VLKTB4H20IJNWS1" hidden="1">#REF!</definedName>
    <definedName name="BExIOMBXRW5NS4ZPYX9G5QREZ5J6" localSheetId="20" hidden="1">#REF!</definedName>
    <definedName name="BExIOMBXRW5NS4ZPYX9G5QREZ5J6" hidden="1">#REF!</definedName>
    <definedName name="BExIOP121EZ0DOU3CLJVVRUIQPZP" localSheetId="20" hidden="1">#REF!</definedName>
    <definedName name="BExIOP121EZ0DOU3CLJVVRUIQPZP" hidden="1">#REF!</definedName>
    <definedName name="BExIORA3GK78T7C7SNBJJUONJ0LS" localSheetId="20" hidden="1">#REF!</definedName>
    <definedName name="BExIORA3GK78T7C7SNBJJUONJ0LS" hidden="1">#REF!</definedName>
    <definedName name="BExIORFDXP4AVIEBLSTZ8ETSXMNM" localSheetId="20" hidden="1">#REF!</definedName>
    <definedName name="BExIORFDXP4AVIEBLSTZ8ETSXMNM" hidden="1">#REF!</definedName>
    <definedName name="BExIOTZ5EFZ2NASVQ05RH15HRSW6" localSheetId="20" hidden="1">#REF!</definedName>
    <definedName name="BExIOTZ5EFZ2NASVQ05RH15HRSW6" hidden="1">#REF!</definedName>
    <definedName name="BExIP8YNN6UUE1GZ223SWH7DLGKO" localSheetId="20" hidden="1">#REF!</definedName>
    <definedName name="BExIP8YNN6UUE1GZ223SWH7DLGKO" hidden="1">#REF!</definedName>
    <definedName name="BExIPAB4AOL592OJCC1CFAXTLF1A" localSheetId="20" hidden="1">#REF!</definedName>
    <definedName name="BExIPAB4AOL592OJCC1CFAXTLF1A" hidden="1">#REF!</definedName>
    <definedName name="BExIPB25DKX4S2ZCKQN7KWSC3JBF" localSheetId="20" hidden="1">#REF!</definedName>
    <definedName name="BExIPB25DKX4S2ZCKQN7KWSC3JBF" hidden="1">#REF!</definedName>
    <definedName name="BExIPDLT8JYAMGE5HTN4D1YHZF3V" localSheetId="20" hidden="1">#REF!</definedName>
    <definedName name="BExIPDLT8JYAMGE5HTN4D1YHZF3V" hidden="1">#REF!</definedName>
    <definedName name="BExIPG040Q08EWIWL6CAVR3GRI43" localSheetId="20" hidden="1">#REF!</definedName>
    <definedName name="BExIPG040Q08EWIWL6CAVR3GRI43" hidden="1">#REF!</definedName>
    <definedName name="BExIPKNFUDPDKOSH5GHDVNA8D66S" localSheetId="20" hidden="1">#REF!</definedName>
    <definedName name="BExIPKNFUDPDKOSH5GHDVNA8D66S" hidden="1">#REF!</definedName>
    <definedName name="BExIPMWA45QSRZBQJ7J5LE412D5J" localSheetId="20" hidden="1">#REF!</definedName>
    <definedName name="BExIPMWA45QSRZBQJ7J5LE412D5J" hidden="1">#REF!</definedName>
    <definedName name="BExIQ1VS9A2FHVD9TUHKG9K8EVVP" localSheetId="20" hidden="1">#REF!</definedName>
    <definedName name="BExIQ1VS9A2FHVD9TUHKG9K8EVVP" hidden="1">#REF!</definedName>
    <definedName name="BExIQ3J19L30PSQ2CXNT6IHW0I7V" localSheetId="20" hidden="1">#REF!</definedName>
    <definedName name="BExIQ3J19L30PSQ2CXNT6IHW0I7V" hidden="1">#REF!</definedName>
    <definedName name="BExIQ3OJ7M04XCY276IO0LJA5XUK" localSheetId="20" hidden="1">#REF!</definedName>
    <definedName name="BExIQ3OJ7M04XCY276IO0LJA5XUK" hidden="1">#REF!</definedName>
    <definedName name="BExIQ5S19ITB0NDRUN4XV7B905ED" localSheetId="20" hidden="1">#REF!</definedName>
    <definedName name="BExIQ5S19ITB0NDRUN4XV7B905ED" hidden="1">#REF!</definedName>
    <definedName name="BExIQ9TMQT2EIXSVQW7GVSOAW2VJ" localSheetId="20" hidden="1">#REF!</definedName>
    <definedName name="BExIQ9TMQT2EIXSVQW7GVSOAW2VJ" hidden="1">#REF!</definedName>
    <definedName name="BExIQBMD65DFEB0L9IMMF5X977SD" localSheetId="20" hidden="1">#REF!</definedName>
    <definedName name="BExIQBMD65DFEB0L9IMMF5X977SD" hidden="1">#REF!</definedName>
    <definedName name="BExIQBMDE1L6J4H27K1FMSHQKDSE" localSheetId="20" hidden="1">#REF!</definedName>
    <definedName name="BExIQBMDE1L6J4H27K1FMSHQKDSE" hidden="1">#REF!</definedName>
    <definedName name="BExIQE65LVXUOF3UZFO7SDHFJH22" localSheetId="20" hidden="1">#REF!</definedName>
    <definedName name="BExIQE65LVXUOF3UZFO7SDHFJH22" hidden="1">#REF!</definedName>
    <definedName name="BExIQG9OO2KKBOWTMD1OXY36TEGA" localSheetId="20" hidden="1">#REF!</definedName>
    <definedName name="BExIQG9OO2KKBOWTMD1OXY36TEGA" hidden="1">#REF!</definedName>
    <definedName name="BExIQK0FRCT7UYOFPF6HXKEUARNJ" localSheetId="20" hidden="1">#REF!</definedName>
    <definedName name="BExIQK0FRCT7UYOFPF6HXKEUARNJ" hidden="1">#REF!</definedName>
    <definedName name="BExIQX1XBB31HZTYEEVOBSE3C5A6" localSheetId="20" hidden="1">#REF!</definedName>
    <definedName name="BExIQX1XBB31HZTYEEVOBSE3C5A6" hidden="1">#REF!</definedName>
    <definedName name="BExIQY8VY7PMQS8M5UTSAF3MW1AA" localSheetId="20" hidden="1">#REF!</definedName>
    <definedName name="BExIQY8VY7PMQS8M5UTSAF3MW1AA" hidden="1">#REF!</definedName>
    <definedName name="BExIQYP5T1TPAQYW7QU1Q98BKX7W" localSheetId="20" hidden="1">#REF!</definedName>
    <definedName name="BExIQYP5T1TPAQYW7QU1Q98BKX7W" hidden="1">#REF!</definedName>
    <definedName name="BExIR2ALYRP9FW99DK2084J7IIDC" localSheetId="20" hidden="1">#REF!</definedName>
    <definedName name="BExIR2ALYRP9FW99DK2084J7IIDC" hidden="1">#REF!</definedName>
    <definedName name="BExIR8FQETPTQYW37DBVDWG3J4JW" localSheetId="20" hidden="1">#REF!</definedName>
    <definedName name="BExIR8FQETPTQYW37DBVDWG3J4JW" hidden="1">#REF!</definedName>
    <definedName name="BExIRRBGTY01OQOI3U5SW59RFDFI" localSheetId="20" hidden="1">#REF!</definedName>
    <definedName name="BExIRRBGTY01OQOI3U5SW59RFDFI" hidden="1">#REF!</definedName>
    <definedName name="BExIRRM8X5MMN15Q3SPFK13165ZR" localSheetId="20" hidden="1">'[38]10.08.5 - 2008 Capital - TDBU'!#REF!</definedName>
    <definedName name="BExIRRM8X5MMN15Q3SPFK13165ZR" hidden="1">'[38]10.08.5 - 2008 Capital - TDBU'!#REF!</definedName>
    <definedName name="BExIS4T0DRF57HYO7OGG72KBOFOI" localSheetId="15" hidden="1">#REF!</definedName>
    <definedName name="BExIS4T0DRF57HYO7OGG72KBOFOI" localSheetId="16" hidden="1">#REF!</definedName>
    <definedName name="BExIS4T0DRF57HYO7OGG72KBOFOI" localSheetId="20" hidden="1">#REF!</definedName>
    <definedName name="BExIS4T0DRF57HYO7OGG72KBOFOI" hidden="1">#REF!</definedName>
    <definedName name="BExIS77BJDDK18PGI9DSEYZPIL7P" localSheetId="20" hidden="1">#REF!</definedName>
    <definedName name="BExIS77BJDDK18PGI9DSEYZPIL7P" hidden="1">#REF!</definedName>
    <definedName name="BExIS8UME1A94FJH5YHFVEO8E03Z" localSheetId="20" hidden="1">#REF!</definedName>
    <definedName name="BExIS8UME1A94FJH5YHFVEO8E03Z" hidden="1">#REF!</definedName>
    <definedName name="BExIS8USL1T3Z97CZ30HJ98E2GXQ" localSheetId="20" hidden="1">#REF!</definedName>
    <definedName name="BExIS8USL1T3Z97CZ30HJ98E2GXQ" hidden="1">#REF!</definedName>
    <definedName name="BExISC5B700MZUBFTQ9K4IKTF7HR" localSheetId="20" hidden="1">#REF!</definedName>
    <definedName name="BExISC5B700MZUBFTQ9K4IKTF7HR" hidden="1">#REF!</definedName>
    <definedName name="BExISDHXS49S1H56ENBPRF1NLD5C" localSheetId="20" hidden="1">#REF!</definedName>
    <definedName name="BExISDHXS49S1H56ENBPRF1NLD5C" hidden="1">#REF!</definedName>
    <definedName name="BExISM1JLV54A21A164IURMPGUMU" localSheetId="20" hidden="1">#REF!</definedName>
    <definedName name="BExISM1JLV54A21A164IURMPGUMU" hidden="1">#REF!</definedName>
    <definedName name="BExISRFKJYUZ4AKW44IJF7RF9Y90" localSheetId="20" hidden="1">#REF!</definedName>
    <definedName name="BExISRFKJYUZ4AKW44IJF7RF9Y90" hidden="1">#REF!</definedName>
    <definedName name="BExISXVMB9A7MHHRJTQGWLTINL5K" localSheetId="20" hidden="1">#REF!</definedName>
    <definedName name="BExISXVMB9A7MHHRJTQGWLTINL5K" hidden="1">#REF!</definedName>
    <definedName name="BExIT1MK8TBAK3SNP36A8FKDQSOK" localSheetId="20" hidden="1">#REF!</definedName>
    <definedName name="BExIT1MK8TBAK3SNP36A8FKDQSOK" hidden="1">#REF!</definedName>
    <definedName name="BExITBNYANV2S8KD56GOGCKW393R" localSheetId="20" hidden="1">#REF!</definedName>
    <definedName name="BExITBNYANV2S8KD56GOGCKW393R" hidden="1">#REF!</definedName>
    <definedName name="BExItemGrid">#REF!</definedName>
    <definedName name="BExITENTNC8AZE7V0WRWRYW8HP0C" localSheetId="20" hidden="1">#REF!</definedName>
    <definedName name="BExITENTNC8AZE7V0WRWRYW8HP0C" hidden="1">#REF!</definedName>
    <definedName name="BExITKI640SU7Y4KLZY9I1Z9R6TT" localSheetId="20" hidden="1">#REF!</definedName>
    <definedName name="BExITKI640SU7Y4KLZY9I1Z9R6TT" hidden="1">#REF!</definedName>
    <definedName name="BExITTSMS5QHJIV39IX8L172UTTU" localSheetId="20" hidden="1">#REF!</definedName>
    <definedName name="BExITTSMS5QHJIV39IX8L172UTTU" hidden="1">#REF!</definedName>
    <definedName name="BExITU3FT317H7G8057DIO12TN7U" localSheetId="20" hidden="1">#REF!</definedName>
    <definedName name="BExITU3FT317H7G8057DIO12TN7U" hidden="1">#REF!</definedName>
    <definedName name="BExITXE2V3RFP2CB0EZVVTMZFX7T" localSheetId="20" hidden="1">#REF!</definedName>
    <definedName name="BExITXE2V3RFP2CB0EZVVTMZFX7T" hidden="1">#REF!</definedName>
    <definedName name="BExIUAFCGGFQDEDMTXUYTTA3EYBT" localSheetId="20" hidden="1">#REF!</definedName>
    <definedName name="BExIUAFCGGFQDEDMTXUYTTA3EYBT" hidden="1">#REF!</definedName>
    <definedName name="BExIUD4OJGH65NFNQ4VMCE3R4J1X" localSheetId="20" hidden="1">#REF!</definedName>
    <definedName name="BExIUD4OJGH65NFNQ4VMCE3R4J1X" hidden="1">#REF!</definedName>
    <definedName name="BExIUKGWIPE992U6T8OUR0LZQDXK" localSheetId="20" hidden="1">#REF!</definedName>
    <definedName name="BExIUKGWIPE992U6T8OUR0LZQDXK" hidden="1">#REF!</definedName>
    <definedName name="BExIUM46R6FW1PBJUL86BQVXB96X" localSheetId="20" hidden="1">#REF!</definedName>
    <definedName name="BExIUM46R6FW1PBJUL86BQVXB96X" hidden="1">#REF!</definedName>
    <definedName name="BExIUTB5OAAXYW0OFMP0PS40SPOB" localSheetId="20" hidden="1">#REF!</definedName>
    <definedName name="BExIUTB5OAAXYW0OFMP0PS40SPOB" hidden="1">#REF!</definedName>
    <definedName name="BExIUUT2MHIOV6R3WHA0DPM1KBKY" localSheetId="20" hidden="1">#REF!</definedName>
    <definedName name="BExIUUT2MHIOV6R3WHA0DPM1KBKY" hidden="1">#REF!</definedName>
    <definedName name="BExIUY3RMHPHDAHQNA21GY3ZUTMU" localSheetId="20" hidden="1">#REF!</definedName>
    <definedName name="BExIUY3RMHPHDAHQNA21GY3ZUTMU" hidden="1">#REF!</definedName>
    <definedName name="BExIUYPDT1AM6MWGWQS646PIZIWC" localSheetId="20" hidden="1">#REF!</definedName>
    <definedName name="BExIUYPDT1AM6MWGWQS646PIZIWC" hidden="1">#REF!</definedName>
    <definedName name="BExIV0I2O9F8D1UK1SI8AEYR6U0A" localSheetId="20" hidden="1">#REF!</definedName>
    <definedName name="BExIV0I2O9F8D1UK1SI8AEYR6U0A" hidden="1">#REF!</definedName>
    <definedName name="BExIV2LM38XPLRTWT0R44TMQ59E5" localSheetId="20" hidden="1">#REF!</definedName>
    <definedName name="BExIV2LM38XPLRTWT0R44TMQ59E5" hidden="1">#REF!</definedName>
    <definedName name="BExIV3HY4S0YRV1F7XEMF2YHAR2I" localSheetId="20" hidden="1">#REF!</definedName>
    <definedName name="BExIV3HY4S0YRV1F7XEMF2YHAR2I" hidden="1">#REF!</definedName>
    <definedName name="BExIV6HUZFRIFLXW2SICKGTAH1PV" localSheetId="20" hidden="1">#REF!</definedName>
    <definedName name="BExIV6HUZFRIFLXW2SICKGTAH1PV" hidden="1">#REF!</definedName>
    <definedName name="BExIV8AM80CS6E5TN6IATF33GV1V" localSheetId="20" hidden="1">#REF!</definedName>
    <definedName name="BExIV8AM80CS6E5TN6IATF33GV1V" hidden="1">#REF!</definedName>
    <definedName name="BExIVBFYNRU691AQPVWWPH7PG4PX" localSheetId="20" hidden="1">#REF!</definedName>
    <definedName name="BExIVBFYNRU691AQPVWWPH7PG4PX" hidden="1">#REF!</definedName>
    <definedName name="BExIVC6WZMHRBRGIBUVX0CO2RK05" localSheetId="20" hidden="1">#REF!</definedName>
    <definedName name="BExIVC6WZMHRBRGIBUVX0CO2RK05" hidden="1">#REF!</definedName>
    <definedName name="BExIVCXWL6H5LD9DHDIA4F5U9TQL" localSheetId="20" hidden="1">#REF!</definedName>
    <definedName name="BExIVCXWL6H5LD9DHDIA4F5U9TQL" hidden="1">#REF!</definedName>
    <definedName name="BExIVEL6GUMOY062S9PFOGOGJ1UX" localSheetId="20" hidden="1">#REF!</definedName>
    <definedName name="BExIVEL6GUMOY062S9PFOGOGJ1UX" hidden="1">#REF!</definedName>
    <definedName name="BExIVMOIPSEWSIHIDDLOXESQ28A0" localSheetId="20" hidden="1">#REF!</definedName>
    <definedName name="BExIVMOIPSEWSIHIDDLOXESQ28A0" hidden="1">#REF!</definedName>
    <definedName name="BExIVNVNJX9BYDLC88NG09YF5XQ6" localSheetId="20" hidden="1">#REF!</definedName>
    <definedName name="BExIVNVNJX9BYDLC88NG09YF5XQ6" hidden="1">#REF!</definedName>
    <definedName name="BExIVQVKLMGSRYT1LFZH0KUIA4OR" localSheetId="20" hidden="1">#REF!</definedName>
    <definedName name="BExIVQVKLMGSRYT1LFZH0KUIA4OR" hidden="1">#REF!</definedName>
    <definedName name="BExIVYTFI35KNR2XSA6N8OJYUTUR" localSheetId="20" hidden="1">#REF!</definedName>
    <definedName name="BExIVYTFI35KNR2XSA6N8OJYUTUR" hidden="1">#REF!</definedName>
    <definedName name="BExIWB3SY3WRIVIOF988DNNODBOA" localSheetId="20" hidden="1">#REF!</definedName>
    <definedName name="BExIWB3SY3WRIVIOF988DNNODBOA" hidden="1">#REF!</definedName>
    <definedName name="BExIWB99CG0H52LRD6QWPN4L6DV2" localSheetId="20" hidden="1">#REF!</definedName>
    <definedName name="BExIWB99CG0H52LRD6QWPN4L6DV2" hidden="1">#REF!</definedName>
    <definedName name="BExIWCGFM00Y1WAFPJT5KRD1K5XP" localSheetId="20" hidden="1">#REF!</definedName>
    <definedName name="BExIWCGFM00Y1WAFPJT5KRD1K5XP" hidden="1">#REF!</definedName>
    <definedName name="BExIWG1W7XP9DFYYSZAIOSHM0QLQ" localSheetId="20" hidden="1">#REF!</definedName>
    <definedName name="BExIWG1W7XP9DFYYSZAIOSHM0QLQ" hidden="1">#REF!</definedName>
    <definedName name="BExIWH3KUK94B7833DD4TB0Y6KP9" localSheetId="20" hidden="1">#REF!</definedName>
    <definedName name="BExIWH3KUK94B7833DD4TB0Y6KP9" hidden="1">#REF!</definedName>
    <definedName name="BExIWKE9MGIDWORBI43AWTUNYFAN" localSheetId="20" hidden="1">#REF!</definedName>
    <definedName name="BExIWKE9MGIDWORBI43AWTUNYFAN" hidden="1">#REF!</definedName>
    <definedName name="BExIWLFXFUPVKEPUHWJYGEW9I7SQ" localSheetId="20" hidden="1">#REF!</definedName>
    <definedName name="BExIWLFXFUPVKEPUHWJYGEW9I7SQ" hidden="1">#REF!</definedName>
    <definedName name="BExIWNZR6BI167OK1PHT0XMDHSMS" localSheetId="20" hidden="1">#REF!</definedName>
    <definedName name="BExIWNZR6BI167OK1PHT0XMDHSMS" hidden="1">#REF!</definedName>
    <definedName name="BExIWQ8KOCZ9G1137JOM03I28GP4" localSheetId="20" hidden="1">#REF!</definedName>
    <definedName name="BExIWQ8KOCZ9G1137JOM03I28GP4" hidden="1">#REF!</definedName>
    <definedName name="BExIX34PM5DBTRHRQWP6PL6WIX88" localSheetId="20" hidden="1">#REF!</definedName>
    <definedName name="BExIX34PM5DBTRHRQWP6PL6WIX88" hidden="1">#REF!</definedName>
    <definedName name="BExIX5OAP9KSUE5SIZCW9P39Q4WE" localSheetId="20" hidden="1">#REF!</definedName>
    <definedName name="BExIX5OAP9KSUE5SIZCW9P39Q4WE" hidden="1">#REF!</definedName>
    <definedName name="BExIXB7UUMLUUU4G2KWA00VKHNEJ" localSheetId="20" hidden="1">#REF!</definedName>
    <definedName name="BExIXB7UUMLUUU4G2KWA00VKHNEJ" hidden="1">#REF!</definedName>
    <definedName name="BExIXGRJPVJMUDGSG7IHPXPNO69B" localSheetId="20" hidden="1">#REF!</definedName>
    <definedName name="BExIXGRJPVJMUDGSG7IHPXPNO69B" hidden="1">#REF!</definedName>
    <definedName name="BExIXM5R87ZL3FHALWZXYCPHGX3E" localSheetId="20" hidden="1">#REF!</definedName>
    <definedName name="BExIXM5R87ZL3FHALWZXYCPHGX3E" hidden="1">#REF!</definedName>
    <definedName name="BExIXS036ZCKT2Z8XZKLZ8PFWQGL" localSheetId="20" hidden="1">#REF!</definedName>
    <definedName name="BExIXS036ZCKT2Z8XZKLZ8PFWQGL" hidden="1">#REF!</definedName>
    <definedName name="BExIXY5CF9PFM0P40AZ4U51TMWV0" localSheetId="20" hidden="1">#REF!</definedName>
    <definedName name="BExIXY5CF9PFM0P40AZ4U51TMWV0" hidden="1">#REF!</definedName>
    <definedName name="BExIYEXJBK8JDWIRSVV4RJSKZVV1" localSheetId="20" hidden="1">#REF!</definedName>
    <definedName name="BExIYEXJBK8JDWIRSVV4RJSKZVV1" hidden="1">#REF!</definedName>
    <definedName name="BExIYI2RH0K4225XO970K2IQ1E79" localSheetId="20" hidden="1">#REF!</definedName>
    <definedName name="BExIYI2RH0K4225XO970K2IQ1E79" hidden="1">#REF!</definedName>
    <definedName name="BExIYMPZ0KS2KOJFQAUQJ77L7701" localSheetId="20" hidden="1">#REF!</definedName>
    <definedName name="BExIYMPZ0KS2KOJFQAUQJ77L7701" hidden="1">#REF!</definedName>
    <definedName name="BExIYP9Q6FV9T0R9G3UDKLS4TTYX" localSheetId="20" hidden="1">#REF!</definedName>
    <definedName name="BExIYP9Q6FV9T0R9G3UDKLS4TTYX" hidden="1">#REF!</definedName>
    <definedName name="BExIYQ63QDPSPOEL1H0OP89YQTZH" localSheetId="20" hidden="1">'[38]10.08.2 - 2008 Expense'!#REF!</definedName>
    <definedName name="BExIYQ63QDPSPOEL1H0OP89YQTZH" hidden="1">'[38]10.08.2 - 2008 Expense'!#REF!</definedName>
    <definedName name="BExIYV9IMIVVVSZNL48E412WN7ZF" localSheetId="15" hidden="1">#REF!</definedName>
    <definedName name="BExIYV9IMIVVVSZNL48E412WN7ZF" localSheetId="16" hidden="1">#REF!</definedName>
    <definedName name="BExIYV9IMIVVVSZNL48E412WN7ZF" localSheetId="20" hidden="1">#REF!</definedName>
    <definedName name="BExIYV9IMIVVVSZNL48E412WN7ZF" hidden="1">#REF!</definedName>
    <definedName name="BExIYWWSSNFJ49218D4EO9QWKL69" localSheetId="20" hidden="1">#REF!</definedName>
    <definedName name="BExIYWWSSNFJ49218D4EO9QWKL69" hidden="1">#REF!</definedName>
    <definedName name="BExIYZGLDQ1TN7BIIN4RLDP31GIM" localSheetId="20" hidden="1">#REF!</definedName>
    <definedName name="BExIYZGLDQ1TN7BIIN4RLDP31GIM" hidden="1">#REF!</definedName>
    <definedName name="BExIZ4K0EZJK6PW3L8SVKTJFSWW9" localSheetId="20" hidden="1">#REF!</definedName>
    <definedName name="BExIZ4K0EZJK6PW3L8SVKTJFSWW9" hidden="1">#REF!</definedName>
    <definedName name="BExIZ5GDN6WSJ55BFCN2CC7G80L0" localSheetId="20" hidden="1">#REF!</definedName>
    <definedName name="BExIZ5GDN6WSJ55BFCN2CC7G80L0" hidden="1">#REF!</definedName>
    <definedName name="BExIZ6YBLNY9O1BQC129VGDXCVNX" localSheetId="20" hidden="1">#REF!</definedName>
    <definedName name="BExIZ6YBLNY9O1BQC129VGDXCVNX" hidden="1">#REF!</definedName>
    <definedName name="BExIZAECOEZGBAO29QMV14E6XDIV" localSheetId="20" hidden="1">#REF!</definedName>
    <definedName name="BExIZAECOEZGBAO29QMV14E6XDIV" hidden="1">#REF!</definedName>
    <definedName name="BExIZKVXYD5O2JBU81F2UFJZLLSI" localSheetId="20" hidden="1">#REF!</definedName>
    <definedName name="BExIZKVXYD5O2JBU81F2UFJZLLSI" hidden="1">#REF!</definedName>
    <definedName name="BExIZPZDHC8HGER83WHCZAHOX7LK" localSheetId="20" hidden="1">#REF!</definedName>
    <definedName name="BExIZPZDHC8HGER83WHCZAHOX7LK" hidden="1">#REF!</definedName>
    <definedName name="BExIZY2PUZ0OF9YKK1B13IW0VS6G" localSheetId="20" hidden="1">#REF!</definedName>
    <definedName name="BExIZY2PUZ0OF9YKK1B13IW0VS6G" hidden="1">#REF!</definedName>
    <definedName name="BExJ08KBRR2XMWW3VZMPSQKXHZUH" localSheetId="20" hidden="1">#REF!</definedName>
    <definedName name="BExJ08KBRR2XMWW3VZMPSQKXHZUH" hidden="1">#REF!</definedName>
    <definedName name="BExJ0DYJWXGE7DA39PYL3WM05U9O" localSheetId="20" hidden="1">#REF!</definedName>
    <definedName name="BExJ0DYJWXGE7DA39PYL3WM05U9O" hidden="1">#REF!</definedName>
    <definedName name="BExJ0MY8SY5J5V50H3UKE78ODTVB" localSheetId="20" hidden="1">#REF!</definedName>
    <definedName name="BExJ0MY8SY5J5V50H3UKE78ODTVB" hidden="1">#REF!</definedName>
    <definedName name="BExJ0YC98G37ML4N8FLP8D95EFRF" localSheetId="20" hidden="1">#REF!</definedName>
    <definedName name="BExJ0YC98G37ML4N8FLP8D95EFRF" hidden="1">#REF!</definedName>
    <definedName name="BExJ1PWWYANUHL8A16ETV0RDAXC3" localSheetId="20" hidden="1">#REF!</definedName>
    <definedName name="BExJ1PWWYANUHL8A16ETV0RDAXC3" hidden="1">#REF!</definedName>
    <definedName name="BExKCDYKAEV45AFXHVHZZ62E5BM3" localSheetId="20" hidden="1">#REF!</definedName>
    <definedName name="BExKCDYKAEV45AFXHVHZZ62E5BM3" hidden="1">#REF!</definedName>
    <definedName name="BExKCJCRGT5SGXIHDQI24Z6J8GI4" localSheetId="20" hidden="1">#REF!</definedName>
    <definedName name="BExKCJCRGT5SGXIHDQI24Z6J8GI4" hidden="1">#REF!</definedName>
    <definedName name="BExKDKO0W4AGQO1V7K6Q4VM750FT" localSheetId="20" hidden="1">#REF!</definedName>
    <definedName name="BExKDKO0W4AGQO1V7K6Q4VM750FT" hidden="1">#REF!</definedName>
    <definedName name="BExKDLF10G7W77J87QWH3ZGLUCLW" localSheetId="20" hidden="1">#REF!</definedName>
    <definedName name="BExKDLF10G7W77J87QWH3ZGLUCLW" hidden="1">#REF!</definedName>
    <definedName name="BExKE0PBX3XGOUM78ZT54ALDAVSP" localSheetId="20" hidden="1">#REF!</definedName>
    <definedName name="BExKE0PBX3XGOUM78ZT54ALDAVSP" hidden="1">#REF!</definedName>
    <definedName name="BExKEFE0I3MT6ZLC4T1L9465HKTN" localSheetId="20" hidden="1">#REF!</definedName>
    <definedName name="BExKEFE0I3MT6ZLC4T1L9465HKTN" hidden="1">#REF!</definedName>
    <definedName name="BExKEK6O5BVJP4VY02FY7JNAZ6BT" localSheetId="20" hidden="1">#REF!</definedName>
    <definedName name="BExKEK6O5BVJP4VY02FY7JNAZ6BT" hidden="1">#REF!</definedName>
    <definedName name="BExKEKXK6E6QX339ELPXDIRZSJE0" localSheetId="20" hidden="1">#REF!</definedName>
    <definedName name="BExKEKXK6E6QX339ELPXDIRZSJE0" hidden="1">#REF!</definedName>
    <definedName name="BExKEOOIBMP7N8033EY2CJYCBX6H" localSheetId="20" hidden="1">#REF!</definedName>
    <definedName name="BExKEOOIBMP7N8033EY2CJYCBX6H" hidden="1">#REF!</definedName>
    <definedName name="BExKEW0RR5LA3VC46A2BEOOMQE56" localSheetId="20" hidden="1">#REF!</definedName>
    <definedName name="BExKEW0RR5LA3VC46A2BEOOMQE56" hidden="1">#REF!</definedName>
    <definedName name="BExKFA3VI1CZK21SM0N3LZWT9LA1" localSheetId="20" hidden="1">#REF!</definedName>
    <definedName name="BExKFA3VI1CZK21SM0N3LZWT9LA1" hidden="1">#REF!</definedName>
    <definedName name="BExKFHGARZIYPYRZWQNLP5VVCRE2" localSheetId="20" hidden="1">#REF!</definedName>
    <definedName name="BExKFHGARZIYPYRZWQNLP5VVCRE2" hidden="1">#REF!</definedName>
    <definedName name="BExKFINBFV5J2NFRCL4YUO3YF0ZE" localSheetId="20" hidden="1">#REF!</definedName>
    <definedName name="BExKFINBFV5J2NFRCL4YUO3YF0ZE" hidden="1">#REF!</definedName>
    <definedName name="BExKFISRBFACTAMJSALEYMY66F6X" localSheetId="20" hidden="1">#REF!</definedName>
    <definedName name="BExKFISRBFACTAMJSALEYMY66F6X" hidden="1">#REF!</definedName>
    <definedName name="BExKFOSK5DJ151C4E8544UWMYTOC" localSheetId="20" hidden="1">#REF!</definedName>
    <definedName name="BExKFOSK5DJ151C4E8544UWMYTOC" hidden="1">#REF!</definedName>
    <definedName name="BExKFY32BHV278YC2ID5UIB5O51K" localSheetId="20" hidden="1">#REF!</definedName>
    <definedName name="BExKFY32BHV278YC2ID5UIB5O51K" hidden="1">#REF!</definedName>
    <definedName name="BExKFYJC4EVEV54F82K6VKP7Q3OU" localSheetId="20" hidden="1">#REF!</definedName>
    <definedName name="BExKFYJC4EVEV54F82K6VKP7Q3OU" hidden="1">#REF!</definedName>
    <definedName name="BExKG4IYHBKQQ8J8FN10GB2IKO33" localSheetId="20" hidden="1">#REF!</definedName>
    <definedName name="BExKG4IYHBKQQ8J8FN10GB2IKO33" hidden="1">#REF!</definedName>
    <definedName name="BExKG60XBDFYOF7ZU3F5US7CM2Y4" localSheetId="20" hidden="1">#REF!</definedName>
    <definedName name="BExKG60XBDFYOF7ZU3F5US7CM2Y4" hidden="1">#REF!</definedName>
    <definedName name="BExKG6XA0DGM4VUMUE4NHHVYVJ0J" localSheetId="20" hidden="1">#REF!</definedName>
    <definedName name="BExKG6XA0DGM4VUMUE4NHHVYVJ0J" hidden="1">#REF!</definedName>
    <definedName name="BExKGF0L44S78D33WMQ1A75TRKB9" localSheetId="20" hidden="1">#REF!</definedName>
    <definedName name="BExKGF0L44S78D33WMQ1A75TRKB9" hidden="1">#REF!</definedName>
    <definedName name="BExKGFRN31B3G20LMQ4LRF879J68" localSheetId="20" hidden="1">#REF!</definedName>
    <definedName name="BExKGFRN31B3G20LMQ4LRF879J68" hidden="1">#REF!</definedName>
    <definedName name="BExKGJD3U3ADZILP20U3EURP0UQP" localSheetId="20" hidden="1">#REF!</definedName>
    <definedName name="BExKGJD3U3ADZILP20U3EURP0UQP" hidden="1">#REF!</definedName>
    <definedName name="BExKGNK5YGKP0YHHTAAOV17Z9EIM" localSheetId="20" hidden="1">#REF!</definedName>
    <definedName name="BExKGNK5YGKP0YHHTAAOV17Z9EIM" hidden="1">#REF!</definedName>
    <definedName name="BExKGRLRYB3OW56X3JCUII1OOS3K" localSheetId="20" hidden="1">#REF!</definedName>
    <definedName name="BExKGRLRYB3OW56X3JCUII1OOS3K" hidden="1">#REF!</definedName>
    <definedName name="BExKGV77YH9YXIQTRKK2331QGYKF" localSheetId="20" hidden="1">#REF!</definedName>
    <definedName name="BExKGV77YH9YXIQTRKK2331QGYKF" hidden="1">#REF!</definedName>
    <definedName name="BExKH170S7VQ0NRNOWNT98XVEWUH" localSheetId="20" hidden="1">#REF!</definedName>
    <definedName name="BExKH170S7VQ0NRNOWNT98XVEWUH" hidden="1">#REF!</definedName>
    <definedName name="BExKH3FTZ5VGTB86W9M4AB39R0G8" localSheetId="20" hidden="1">#REF!</definedName>
    <definedName name="BExKH3FTZ5VGTB86W9M4AB39R0G8" hidden="1">#REF!</definedName>
    <definedName name="BExKH3FV5U5O6XZM7STS3NZKQFGJ" localSheetId="20" hidden="1">#REF!</definedName>
    <definedName name="BExKH3FV5U5O6XZM7STS3NZKQFGJ" hidden="1">#REF!</definedName>
    <definedName name="BExKHAMUH8NR3HRV0V6FHJE3ROLN" localSheetId="20" hidden="1">#REF!</definedName>
    <definedName name="BExKHAMUH8NR3HRV0V6FHJE3ROLN" hidden="1">#REF!</definedName>
    <definedName name="BExKHCFKOWFHO2WW0N7Y5XDXEWAO" localSheetId="20" hidden="1">#REF!</definedName>
    <definedName name="BExKHCFKOWFHO2WW0N7Y5XDXEWAO" hidden="1">#REF!</definedName>
    <definedName name="BExKHIVLONZ46HLMR50DEXKEUNEP" localSheetId="20" hidden="1">#REF!</definedName>
    <definedName name="BExKHIVLONZ46HLMR50DEXKEUNEP" hidden="1">#REF!</definedName>
    <definedName name="BExKHKDK2PRBCUJS8TEDP8K3VODQ" localSheetId="20" hidden="1">#REF!</definedName>
    <definedName name="BExKHKDK2PRBCUJS8TEDP8K3VODQ" hidden="1">#REF!</definedName>
    <definedName name="BExKHPM9XA0ADDK7TUR0N38EXWEP" localSheetId="20" hidden="1">#REF!</definedName>
    <definedName name="BExKHPM9XA0ADDK7TUR0N38EXWEP" hidden="1">#REF!</definedName>
    <definedName name="BExKHWD5BOLP8DQJHOIBWHYCSY9W" localSheetId="20" hidden="1">#REF!</definedName>
    <definedName name="BExKHWD5BOLP8DQJHOIBWHYCSY9W" hidden="1">#REF!</definedName>
    <definedName name="BExKI4076KXCDE5KXL79KT36OKLO" localSheetId="20" hidden="1">#REF!</definedName>
    <definedName name="BExKI4076KXCDE5KXL79KT36OKLO" hidden="1">#REF!</definedName>
    <definedName name="BExKI45P8VH8M6QPIX8B2CFPOGZ3" localSheetId="20" hidden="1">#REF!</definedName>
    <definedName name="BExKI45P8VH8M6QPIX8B2CFPOGZ3" hidden="1">#REF!</definedName>
    <definedName name="BExKI7LO70WYISR7Q0Y1ZDWO9M3B" localSheetId="20" hidden="1">#REF!</definedName>
    <definedName name="BExKI7LO70WYISR7Q0Y1ZDWO9M3B" hidden="1">#REF!</definedName>
    <definedName name="BExKIEN5C2YIQQSVLK8YO62XYJMM" localSheetId="20" hidden="1">#REF!</definedName>
    <definedName name="BExKIEN5C2YIQQSVLK8YO62XYJMM" hidden="1">#REF!</definedName>
    <definedName name="BExKIGQV6TXIZG039HBOJU62WP2U" localSheetId="20" hidden="1">#REF!</definedName>
    <definedName name="BExKIGQV6TXIZG039HBOJU62WP2U" hidden="1">#REF!</definedName>
    <definedName name="BExKILE008SF3KTAN8WML3XKI1NZ" localSheetId="20" hidden="1">#REF!</definedName>
    <definedName name="BExKILE008SF3KTAN8WML3XKI1NZ" hidden="1">#REF!</definedName>
    <definedName name="BExKINSBB6RS7I489QHMCOMU4Z2X" localSheetId="20" hidden="1">#REF!</definedName>
    <definedName name="BExKINSBB6RS7I489QHMCOMU4Z2X" hidden="1">#REF!</definedName>
    <definedName name="BExKIU87ZKSOC2DYZWFK6SAK9I8E" localSheetId="20" hidden="1">#REF!</definedName>
    <definedName name="BExKIU87ZKSOC2DYZWFK6SAK9I8E" hidden="1">#REF!</definedName>
    <definedName name="BExKJ449HLYX2DJ9UF0H9GTPSQ73" localSheetId="20" hidden="1">#REF!</definedName>
    <definedName name="BExKJ449HLYX2DJ9UF0H9GTPSQ73" hidden="1">#REF!</definedName>
    <definedName name="BExKJELX2RUC8UEC56IZPYYZXHA7" localSheetId="20" hidden="1">#REF!</definedName>
    <definedName name="BExKJELX2RUC8UEC56IZPYYZXHA7" hidden="1">#REF!</definedName>
    <definedName name="BExKJINMXS61G2TZEXCJAWVV4F57" localSheetId="20" hidden="1">#REF!</definedName>
    <definedName name="BExKJINMXS61G2TZEXCJAWVV4F57" hidden="1">#REF!</definedName>
    <definedName name="BExKJK5ME8KB7HA0180L7OUZDDGV" localSheetId="20" hidden="1">#REF!</definedName>
    <definedName name="BExKJK5ME8KB7HA0180L7OUZDDGV" hidden="1">#REF!</definedName>
    <definedName name="BExKJN5IF0VMDILJ5K8ZENF2QYV1" localSheetId="20" hidden="1">#REF!</definedName>
    <definedName name="BExKJN5IF0VMDILJ5K8ZENF2QYV1" hidden="1">#REF!</definedName>
    <definedName name="BExKJUSJPFUIK20FTVAFJWR2OUYX" localSheetId="20" hidden="1">#REF!</definedName>
    <definedName name="BExKJUSJPFUIK20FTVAFJWR2OUYX" hidden="1">#REF!</definedName>
    <definedName name="BExKK8VP5RS3D0UXZVKA37C4SYBP" localSheetId="20" hidden="1">#REF!</definedName>
    <definedName name="BExKK8VP5RS3D0UXZVKA37C4SYBP" hidden="1">#REF!</definedName>
    <definedName name="BExKKCRXE2B5CHO3044NF9QAKPIW" localSheetId="20" hidden="1">#REF!</definedName>
    <definedName name="BExKKCRXE2B5CHO3044NF9QAKPIW" hidden="1">#REF!</definedName>
    <definedName name="BExKKIM9NPF6B3SPMPIQB27HQME4" localSheetId="20" hidden="1">#REF!</definedName>
    <definedName name="BExKKIM9NPF6B3SPMPIQB27HQME4" hidden="1">#REF!</definedName>
    <definedName name="BExKKIX1BCBQ4R3K41QD8NTV0OV0" localSheetId="20" hidden="1">#REF!</definedName>
    <definedName name="BExKKIX1BCBQ4R3K41QD8NTV0OV0" hidden="1">#REF!</definedName>
    <definedName name="BExKKKV82VW7RLX4HE7NYZULP4I5" localSheetId="20" hidden="1">#REF!</definedName>
    <definedName name="BExKKKV82VW7RLX4HE7NYZULP4I5" hidden="1">#REF!</definedName>
    <definedName name="BExKKLGTZTV7J4XD4AGDM4UEZFTY" localSheetId="20" hidden="1">#REF!</definedName>
    <definedName name="BExKKLGTZTV7J4XD4AGDM4UEZFTY" hidden="1">#REF!</definedName>
    <definedName name="BExKKQ3ZWADYV03YHMXDOAMU90EB" localSheetId="20" hidden="1">#REF!</definedName>
    <definedName name="BExKKQ3ZWADYV03YHMXDOAMU90EB" hidden="1">#REF!</definedName>
    <definedName name="BExKKRWPS7N7KUY6X06X0TEINQM6" localSheetId="20" hidden="1">#REF!</definedName>
    <definedName name="BExKKRWPS7N7KUY6X06X0TEINQM6" hidden="1">#REF!</definedName>
    <definedName name="BExKKUGD2HMJWQEYZ8H3X1BMXFS9" localSheetId="20" hidden="1">#REF!</definedName>
    <definedName name="BExKKUGD2HMJWQEYZ8H3X1BMXFS9" hidden="1">#REF!</definedName>
    <definedName name="BExKKX05KCZZZPKOR1NE5A8RGVT4" localSheetId="20" hidden="1">#REF!</definedName>
    <definedName name="BExKKX05KCZZZPKOR1NE5A8RGVT4" hidden="1">#REF!</definedName>
    <definedName name="BExKKX5GX2R75C9E5OJC8AEQ02WR" localSheetId="20" hidden="1">#REF!</definedName>
    <definedName name="BExKKX5GX2R75C9E5OJC8AEQ02WR" hidden="1">#REF!</definedName>
    <definedName name="BExKLD6S9L66QYREYHBE5J44OK7X" localSheetId="20" hidden="1">#REF!</definedName>
    <definedName name="BExKLD6S9L66QYREYHBE5J44OK7X" hidden="1">#REF!</definedName>
    <definedName name="BExKLEZK32L28GYJWVO63BZ5E1JD" localSheetId="20" hidden="1">#REF!</definedName>
    <definedName name="BExKLEZK32L28GYJWVO63BZ5E1JD" hidden="1">#REF!</definedName>
    <definedName name="BExKLHTYKCAWH7WCYP78L3516NDH" localSheetId="20" hidden="1">#REF!</definedName>
    <definedName name="BExKLHTYKCAWH7WCYP78L3516NDH" hidden="1">#REF!</definedName>
    <definedName name="BExKLLKVVHT06LA55JB2FC871DC5" localSheetId="20" hidden="1">#REF!</definedName>
    <definedName name="BExKLLKVVHT06LA55JB2FC871DC5" hidden="1">#REF!</definedName>
    <definedName name="BExKMFUOVKD6ZRRWMW0FAANYOY14" localSheetId="20" hidden="1">'[38]10.08.4 -2008 Capital'!#REF!</definedName>
    <definedName name="BExKMFUOVKD6ZRRWMW0FAANYOY14" hidden="1">'[38]10.08.4 -2008 Capital'!#REF!</definedName>
    <definedName name="BExKMM52P2JTD826GL7EUFZ2GOWA" localSheetId="15" hidden="1">#REF!</definedName>
    <definedName name="BExKMM52P2JTD826GL7EUFZ2GOWA" localSheetId="16" hidden="1">#REF!</definedName>
    <definedName name="BExKMM52P2JTD826GL7EUFZ2GOWA" localSheetId="20" hidden="1">#REF!</definedName>
    <definedName name="BExKMM52P2JTD826GL7EUFZ2GOWA" hidden="1">#REF!</definedName>
    <definedName name="BExKMWBX4EH3EYJ07UFEM08NB40Z" localSheetId="20" hidden="1">#REF!</definedName>
    <definedName name="BExKMWBX4EH3EYJ07UFEM08NB40Z" hidden="1">#REF!</definedName>
    <definedName name="BExKNBGV2IR3S7M0BX4810KZB4V3" localSheetId="20" hidden="1">#REF!</definedName>
    <definedName name="BExKNBGV2IR3S7M0BX4810KZB4V3" hidden="1">#REF!</definedName>
    <definedName name="BExKNCTBZTSY3MO42VU5PLV6YUHZ" localSheetId="20" hidden="1">#REF!</definedName>
    <definedName name="BExKNCTBZTSY3MO42VU5PLV6YUHZ" hidden="1">#REF!</definedName>
    <definedName name="BExKNGV2YY749C42AQ2T9QNIE5C3" localSheetId="20" hidden="1">#REF!</definedName>
    <definedName name="BExKNGV2YY749C42AQ2T9QNIE5C3" hidden="1">#REF!</definedName>
    <definedName name="BExKNSP7EUXMQ7HQ1I4UI51T620P" localSheetId="20" hidden="1">#REF!</definedName>
    <definedName name="BExKNSP7EUXMQ7HQ1I4UI51T620P" hidden="1">#REF!</definedName>
    <definedName name="BExKNV8UOHVWEHDJWI2WMJ9X6QHZ" localSheetId="20" hidden="1">#REF!</definedName>
    <definedName name="BExKNV8UOHVWEHDJWI2WMJ9X6QHZ" hidden="1">#REF!</definedName>
    <definedName name="BExKNZLD7UATC1MYRNJD8H2NH4KU" localSheetId="20" hidden="1">#REF!</definedName>
    <definedName name="BExKNZLD7UATC1MYRNJD8H2NH4KU" hidden="1">#REF!</definedName>
    <definedName name="BExKNZQUKQQG2Y97R74G4O4BJP1L" localSheetId="20" hidden="1">#REF!</definedName>
    <definedName name="BExKNZQUKQQG2Y97R74G4O4BJP1L" hidden="1">#REF!</definedName>
    <definedName name="BExKO06X0EAD3ABEG1E8PWLDWHBA" localSheetId="20" hidden="1">#REF!</definedName>
    <definedName name="BExKO06X0EAD3ABEG1E8PWLDWHBA" hidden="1">#REF!</definedName>
    <definedName name="BExKO2AHHSGNI1AZOIOW21KPXKPE" localSheetId="20" hidden="1">#REF!</definedName>
    <definedName name="BExKO2AHHSGNI1AZOIOW21KPXKPE" hidden="1">#REF!</definedName>
    <definedName name="BExKO2FXWJWC5IZLDN8JHYILQJ2N" localSheetId="20" hidden="1">#REF!</definedName>
    <definedName name="BExKO2FXWJWC5IZLDN8JHYILQJ2N" hidden="1">#REF!</definedName>
    <definedName name="BExKO438WZ8FKOU00NURGFMOYXWN" localSheetId="20" hidden="1">#REF!</definedName>
    <definedName name="BExKO438WZ8FKOU00NURGFMOYXWN" hidden="1">#REF!</definedName>
    <definedName name="BExKOBVQIBD5QN64WI0VMWG8ECVY" localSheetId="20" hidden="1">#REF!</definedName>
    <definedName name="BExKOBVQIBD5QN64WI0VMWG8ECVY" hidden="1">#REF!</definedName>
    <definedName name="BExKODIZGWW2EQD0FEYW6WK6XLCM" localSheetId="20" hidden="1">#REF!</definedName>
    <definedName name="BExKODIZGWW2EQD0FEYW6WK6XLCM" hidden="1">#REF!</definedName>
    <definedName name="BExKOPO2HPWVQGAKW8LOZMPIDEFG" localSheetId="20" hidden="1">#REF!</definedName>
    <definedName name="BExKOPO2HPWVQGAKW8LOZMPIDEFG" hidden="1">#REF!</definedName>
    <definedName name="BExKOU0G4S03BPJYQJ7Q6BXA1XZE" localSheetId="20" hidden="1">#REF!</definedName>
    <definedName name="BExKOU0G4S03BPJYQJ7Q6BXA1XZE" hidden="1">#REF!</definedName>
    <definedName name="BExKP1NNUBCM89W1AWCQ4GYT46VL" localSheetId="20" hidden="1">'[38]10.08.4 -2008 Capital'!#REF!</definedName>
    <definedName name="BExKP1NNUBCM89W1AWCQ4GYT46VL" hidden="1">'[38]10.08.4 -2008 Capital'!#REF!</definedName>
    <definedName name="BExKPEZP0QTKOTLIMMIFSVTHQEEK" localSheetId="15" hidden="1">#REF!</definedName>
    <definedName name="BExKPEZP0QTKOTLIMMIFSVTHQEEK" localSheetId="16" hidden="1">#REF!</definedName>
    <definedName name="BExKPEZP0QTKOTLIMMIFSVTHQEEK" localSheetId="20" hidden="1">#REF!</definedName>
    <definedName name="BExKPEZP0QTKOTLIMMIFSVTHQEEK" hidden="1">#REF!</definedName>
    <definedName name="BExKPJXT3SWOS15NRMD9RAD4AXOC" localSheetId="20" hidden="1">#REF!</definedName>
    <definedName name="BExKPJXT3SWOS15NRMD9RAD4AXOC" hidden="1">#REF!</definedName>
    <definedName name="BExKPLFRCAYNO7ZNGISMPGFFXB00" localSheetId="20" hidden="1">#REF!</definedName>
    <definedName name="BExKPLFRCAYNO7ZNGISMPGFFXB00" hidden="1">#REF!</definedName>
    <definedName name="BExKPLQJX0HJ8OTXBXH9IC9J2V0W" localSheetId="20" hidden="1">#REF!</definedName>
    <definedName name="BExKPLQJX0HJ8OTXBXH9IC9J2V0W" hidden="1">#REF!</definedName>
    <definedName name="BExKPN8C7GN36ZJZHLOB74LU6KT0" localSheetId="20" hidden="1">#REF!</definedName>
    <definedName name="BExKPN8C7GN36ZJZHLOB74LU6KT0" hidden="1">#REF!</definedName>
    <definedName name="BExKPUKRNDWTKQ8SV8FLABPPXTJK" localSheetId="20" hidden="1">#REF!</definedName>
    <definedName name="BExKPUKRNDWTKQ8SV8FLABPPXTJK" hidden="1">#REF!</definedName>
    <definedName name="BExKPX9VZ1J5021Q98K60HMPJU58" localSheetId="20" hidden="1">#REF!</definedName>
    <definedName name="BExKPX9VZ1J5021Q98K60HMPJU58" hidden="1">#REF!</definedName>
    <definedName name="BExKQJGAAWNM3NT19E9I0CQDBTU0" localSheetId="20" hidden="1">#REF!</definedName>
    <definedName name="BExKQJGAAWNM3NT19E9I0CQDBTU0" hidden="1">#REF!</definedName>
    <definedName name="BExKQM5GJ1ZN5REKFE7YVBQ0KXWF" localSheetId="20" hidden="1">#REF!</definedName>
    <definedName name="BExKQM5GJ1ZN5REKFE7YVBQ0KXWF" hidden="1">#REF!</definedName>
    <definedName name="BExKQOEA7HV9U5DH9C8JXFD62EKH" localSheetId="20" hidden="1">#REF!</definedName>
    <definedName name="BExKQOEA7HV9U5DH9C8JXFD62EKH" hidden="1">#REF!</definedName>
    <definedName name="BExKQQ71278061G7ZFYGPWOMOMY2" localSheetId="20" hidden="1">#REF!</definedName>
    <definedName name="BExKQQ71278061G7ZFYGPWOMOMY2" hidden="1">#REF!</definedName>
    <definedName name="BExKQR8NYY6S7G0RNG3W5UHF26LU" localSheetId="20" hidden="1">#REF!</definedName>
    <definedName name="BExKQR8NYY6S7G0RNG3W5UHF26LU" hidden="1">#REF!</definedName>
    <definedName name="BExKQRUAOHG635WYE6STI4YHGJPE" localSheetId="20" hidden="1">#REF!</definedName>
    <definedName name="BExKQRUAOHG635WYE6STI4YHGJPE" hidden="1">#REF!</definedName>
    <definedName name="BExKQTXRG3ECU8NT47UR7643LO5G" localSheetId="20" hidden="1">#REF!</definedName>
    <definedName name="BExKQTXRG3ECU8NT47UR7643LO5G" hidden="1">#REF!</definedName>
    <definedName name="BExKQVL7HPOIZ4FHANDFMVOJLEPR" localSheetId="20" hidden="1">#REF!</definedName>
    <definedName name="BExKQVL7HPOIZ4FHANDFMVOJLEPR" hidden="1">#REF!</definedName>
    <definedName name="BExKR1VS7ERDDF8HXB3WTPYEUCIU" localSheetId="20" hidden="1">#REF!</definedName>
    <definedName name="BExKR1VS7ERDDF8HXB3WTPYEUCIU" hidden="1">#REF!</definedName>
    <definedName name="BExKR32XG1WY77WDT8KW9FJPGQTU" localSheetId="20" hidden="1">#REF!</definedName>
    <definedName name="BExKR32XG1WY77WDT8KW9FJPGQTU" hidden="1">#REF!</definedName>
    <definedName name="BExKR510GA0MUAKSG4OVIQ26I0BG" localSheetId="20" hidden="1">#REF!</definedName>
    <definedName name="BExKR510GA0MUAKSG4OVIQ26I0BG" hidden="1">#REF!</definedName>
    <definedName name="BExKR8RZSEHW184G0Z56B4EGNU72" localSheetId="20" hidden="1">#REF!</definedName>
    <definedName name="BExKR8RZSEHW184G0Z56B4EGNU72" hidden="1">#REF!</definedName>
    <definedName name="BExKRVUSQ6PA7ZYQSTEQL3X7PB9P" localSheetId="20" hidden="1">#REF!</definedName>
    <definedName name="BExKRVUSQ6PA7ZYQSTEQL3X7PB9P" hidden="1">#REF!</definedName>
    <definedName name="BExKRY3KZ7F7RB2KH8HXSQ85IEQO" localSheetId="20" hidden="1">#REF!</definedName>
    <definedName name="BExKRY3KZ7F7RB2KH8HXSQ85IEQO" hidden="1">#REF!</definedName>
    <definedName name="BExKSA37DZTCK6H13HPIKR0ZFVL8" localSheetId="20" hidden="1">#REF!</definedName>
    <definedName name="BExKSA37DZTCK6H13HPIKR0ZFVL8" hidden="1">#REF!</definedName>
    <definedName name="BExKSFMOMSZYDE0WNC94F40S6636" localSheetId="20" hidden="1">#REF!</definedName>
    <definedName name="BExKSFMOMSZYDE0WNC94F40S6636" hidden="1">#REF!</definedName>
    <definedName name="BExKSHQ9K79S8KYUWIV5M5LAHHF1" localSheetId="20" hidden="1">#REF!</definedName>
    <definedName name="BExKSHQ9K79S8KYUWIV5M5LAHHF1" hidden="1">#REF!</definedName>
    <definedName name="BExKSIS3VA1NCEFCZZSIK8B3YIBZ" localSheetId="20" hidden="1">#REF!</definedName>
    <definedName name="BExKSIS3VA1NCEFCZZSIK8B3YIBZ" hidden="1">#REF!</definedName>
    <definedName name="BExKSJTWG9L3FCX8FLK4EMUJMF27" localSheetId="20" hidden="1">#REF!</definedName>
    <definedName name="BExKSJTWG9L3FCX8FLK4EMUJMF27" hidden="1">#REF!</definedName>
    <definedName name="BExKSLH6QVG81B35VZ8FUSPBKTD5" localSheetId="20" hidden="1">#REF!</definedName>
    <definedName name="BExKSLH6QVG81B35VZ8FUSPBKTD5" hidden="1">#REF!</definedName>
    <definedName name="BExKSRX3BUJY78UHYYZJVTVLMZVP" localSheetId="20" hidden="1">#REF!</definedName>
    <definedName name="BExKSRX3BUJY78UHYYZJVTVLMZVP" hidden="1">#REF!</definedName>
    <definedName name="BExKSU0MKNAVZYYPKCYTZDWQX4R8" localSheetId="20" hidden="1">#REF!</definedName>
    <definedName name="BExKSU0MKNAVZYYPKCYTZDWQX4R8" hidden="1">#REF!</definedName>
    <definedName name="BExKSUBFNA2CM15GD0QR99POCR5I" localSheetId="20" hidden="1">#REF!</definedName>
    <definedName name="BExKSUBFNA2CM15GD0QR99POCR5I" hidden="1">#REF!</definedName>
    <definedName name="BExKSV7ROT5B5BVJ3G19JSC85BAD" localSheetId="20" hidden="1">#REF!</definedName>
    <definedName name="BExKSV7ROT5B5BVJ3G19JSC85BAD" hidden="1">#REF!</definedName>
    <definedName name="BExKSX60G1MUS689FXIGYP2F7C62" localSheetId="20" hidden="1">#REF!</definedName>
    <definedName name="BExKSX60G1MUS689FXIGYP2F7C62" hidden="1">#REF!</definedName>
    <definedName name="BExKT2UZ7Y2VWF5NQE18SJRLD2RN" localSheetId="20" hidden="1">#REF!</definedName>
    <definedName name="BExKT2UZ7Y2VWF5NQE18SJRLD2RN" hidden="1">#REF!</definedName>
    <definedName name="BExKT3GJFNGAM09H5F615E36A38C" localSheetId="20" hidden="1">#REF!</definedName>
    <definedName name="BExKT3GJFNGAM09H5F615E36A38C" hidden="1">#REF!</definedName>
    <definedName name="BExKT9AWCJUL6FVVYMI7NGFTAEEG" localSheetId="20" hidden="1">#REF!</definedName>
    <definedName name="BExKT9AWCJUL6FVVYMI7NGFTAEEG" hidden="1">#REF!</definedName>
    <definedName name="BExKTQZGN8GI3XGSEXMPCCA3S19H" localSheetId="20" hidden="1">#REF!</definedName>
    <definedName name="BExKTQZGN8GI3XGSEXMPCCA3S19H" hidden="1">#REF!</definedName>
    <definedName name="BExKTSBXGP8YGSN5UO0FUHVXT92J" localSheetId="20" hidden="1">#REF!</definedName>
    <definedName name="BExKTSBXGP8YGSN5UO0FUHVXT92J" hidden="1">#REF!</definedName>
    <definedName name="BExKTUKYYU0F6TUW1RXV24LRAZFE" localSheetId="20" hidden="1">#REF!</definedName>
    <definedName name="BExKTUKYYU0F6TUW1RXV24LRAZFE" hidden="1">#REF!</definedName>
    <definedName name="BExKU3FBLHQBIUTN6XEZW5GC9OG1" localSheetId="20" hidden="1">#REF!</definedName>
    <definedName name="BExKU3FBLHQBIUTN6XEZW5GC9OG1" hidden="1">#REF!</definedName>
    <definedName name="BExKU3KMPVWH483Q5TP8K2H0S2L4" localSheetId="20" hidden="1">#REF!</definedName>
    <definedName name="BExKU3KMPVWH483Q5TP8K2H0S2L4" hidden="1">#REF!</definedName>
    <definedName name="BExKU82I99FEUIZLODXJDOJC96CQ" localSheetId="20" hidden="1">#REF!</definedName>
    <definedName name="BExKU82I99FEUIZLODXJDOJC96CQ" hidden="1">#REF!</definedName>
    <definedName name="BExKU9EXMNZKVJV6GSO4XEI3YCWM" localSheetId="20" hidden="1">#REF!</definedName>
    <definedName name="BExKU9EXMNZKVJV6GSO4XEI3YCWM" hidden="1">#REF!</definedName>
    <definedName name="BExKUDM0DFSCM3D91SH0XLXJSL18" localSheetId="20" hidden="1">#REF!</definedName>
    <definedName name="BExKUDM0DFSCM3D91SH0XLXJSL18" hidden="1">#REF!</definedName>
    <definedName name="BExKUGGKEOHX3EEPQ7NGSZWZ8UPA" localSheetId="20" hidden="1">#REF!</definedName>
    <definedName name="BExKUGGKEOHX3EEPQ7NGSZWZ8UPA" hidden="1">#REF!</definedName>
    <definedName name="BExKULEKJLA77AUQPDUHSM94Y76Z" localSheetId="20" hidden="1">#REF!</definedName>
    <definedName name="BExKULEKJLA77AUQPDUHSM94Y76Z" hidden="1">#REF!</definedName>
    <definedName name="BExKUPAT7VWF9ZS0PSYAV71U4N72" localSheetId="20" hidden="1">'[38]10.08.5 - 2008 Capital - TDBU'!#REF!</definedName>
    <definedName name="BExKUPAT7VWF9ZS0PSYAV71U4N72" hidden="1">'[38]10.08.5 - 2008 Capital - TDBU'!#REF!</definedName>
    <definedName name="BExKV08R85MKI3MAX9E2HERNQUNL" localSheetId="15" hidden="1">#REF!</definedName>
    <definedName name="BExKV08R85MKI3MAX9E2HERNQUNL" localSheetId="16" hidden="1">#REF!</definedName>
    <definedName name="BExKV08R85MKI3MAX9E2HERNQUNL" localSheetId="20" hidden="1">#REF!</definedName>
    <definedName name="BExKV08R85MKI3MAX9E2HERNQUNL" hidden="1">#REF!</definedName>
    <definedName name="BExKV334XOSQSXAYPE1ZFCWHR4J8" localSheetId="20" hidden="1">#REF!</definedName>
    <definedName name="BExKV334XOSQSXAYPE1ZFCWHR4J8" hidden="1">#REF!</definedName>
    <definedName name="BExKV4AAUNNJL5JWD7PX6BFKVS6O" localSheetId="20" hidden="1">#REF!</definedName>
    <definedName name="BExKV4AAUNNJL5JWD7PX6BFKVS6O" hidden="1">#REF!</definedName>
    <definedName name="BExKV6J9WVQH09L0UOV4PHTLKXRK" localSheetId="20" hidden="1">#REF!</definedName>
    <definedName name="BExKV6J9WVQH09L0UOV4PHTLKXRK" hidden="1">#REF!</definedName>
    <definedName name="BExKVDVK6HN74GQPTXICP9BFC8CF" localSheetId="20" hidden="1">#REF!</definedName>
    <definedName name="BExKVDVK6HN74GQPTXICP9BFC8CF" hidden="1">#REF!</definedName>
    <definedName name="BExKVFZ3ZZGIC1QI8XN6BYFWN0ZY" localSheetId="20" hidden="1">#REF!</definedName>
    <definedName name="BExKVFZ3ZZGIC1QI8XN6BYFWN0ZY" hidden="1">#REF!</definedName>
    <definedName name="BExKVG4KGO28KPGTAFL1R8TTZ10N" localSheetId="20" hidden="1">#REF!</definedName>
    <definedName name="BExKVG4KGO28KPGTAFL1R8TTZ10N" hidden="1">#REF!</definedName>
    <definedName name="BExKVQRICZRKMKC3XFBPYJM79KT1" localSheetId="20" hidden="1">#REF!</definedName>
    <definedName name="BExKVQRICZRKMKC3XFBPYJM79KT1" hidden="1">#REF!</definedName>
    <definedName name="BExKW0CSH7DA02YSNV64PSEIXB2P" localSheetId="20" hidden="1">#REF!</definedName>
    <definedName name="BExKW0CSH7DA02YSNV64PSEIXB2P" hidden="1">#REF!</definedName>
    <definedName name="BExKW61SUXF65SCFWSZUR9GUOOMH" localSheetId="20" hidden="1">#REF!</definedName>
    <definedName name="BExKW61SUXF65SCFWSZUR9GUOOMH" hidden="1">#REF!</definedName>
    <definedName name="BExM9NUG3Q31X01AI9ZJCZIX25CS" localSheetId="20" hidden="1">#REF!</definedName>
    <definedName name="BExM9NUG3Q31X01AI9ZJCZIX25CS" hidden="1">#REF!</definedName>
    <definedName name="BExM9OG182RP30MY23PG49LVPZ1C" localSheetId="20" hidden="1">#REF!</definedName>
    <definedName name="BExM9OG182RP30MY23PG49LVPZ1C" hidden="1">#REF!</definedName>
    <definedName name="BExMA64MW1S18NH8DCKPCCEI5KCB" localSheetId="20" hidden="1">#REF!</definedName>
    <definedName name="BExMA64MW1S18NH8DCKPCCEI5KCB" hidden="1">#REF!</definedName>
    <definedName name="BExMAAMGWSV264QND3PEEFNT51OK" localSheetId="20" hidden="1">#REF!</definedName>
    <definedName name="BExMAAMGWSV264QND3PEEFNT51OK" hidden="1">#REF!</definedName>
    <definedName name="BExMAC4FBX1U0Y3998JERGS9KL2T" localSheetId="20" hidden="1">#REF!</definedName>
    <definedName name="BExMAC4FBX1U0Y3998JERGS9KL2T" hidden="1">#REF!</definedName>
    <definedName name="BExMAIF09XQ94J83IAH3DFXTENQV" localSheetId="20" hidden="1">#REF!</definedName>
    <definedName name="BExMAIF09XQ94J83IAH3DFXTENQV" hidden="1">#REF!</definedName>
    <definedName name="BExMALEWFUEM8Y686IT03ECURUBR" localSheetId="20" hidden="1">#REF!</definedName>
    <definedName name="BExMALEWFUEM8Y686IT03ECURUBR" hidden="1">#REF!</definedName>
    <definedName name="BExMAR3XSK6RSFLHP7ZX1EWGHASI" localSheetId="20" hidden="1">#REF!</definedName>
    <definedName name="BExMAR3XSK6RSFLHP7ZX1EWGHASI" hidden="1">#REF!</definedName>
    <definedName name="BExMAXJS82ZJ8RS22VLE0V0LDUII" localSheetId="20" hidden="1">#REF!</definedName>
    <definedName name="BExMAXJS82ZJ8RS22VLE0V0LDUII" hidden="1">#REF!</definedName>
    <definedName name="BExMB4QRS0R3MTB4CMUHFZ84LNZQ" localSheetId="20" hidden="1">#REF!</definedName>
    <definedName name="BExMB4QRS0R3MTB4CMUHFZ84LNZQ" hidden="1">#REF!</definedName>
    <definedName name="BExMBC35WKQY5CWQJLV4D05O6971" localSheetId="20" hidden="1">#REF!</definedName>
    <definedName name="BExMBC35WKQY5CWQJLV4D05O6971" hidden="1">#REF!</definedName>
    <definedName name="BExMBFTZV4Q1A5KG25C1N9PHQNSW" localSheetId="20" hidden="1">#REF!</definedName>
    <definedName name="BExMBFTZV4Q1A5KG25C1N9PHQNSW" hidden="1">#REF!</definedName>
    <definedName name="BExMBK6ISK3U7KHZKUJXIDKGF6VW" localSheetId="20" hidden="1">#REF!</definedName>
    <definedName name="BExMBK6ISK3U7KHZKUJXIDKGF6VW" hidden="1">#REF!</definedName>
    <definedName name="BExMBMVGO0XJ71IWHILW9QA74NPG" localSheetId="20" hidden="1">#REF!</definedName>
    <definedName name="BExMBMVGO0XJ71IWHILW9QA74NPG" hidden="1">#REF!</definedName>
    <definedName name="BExMBYPQDG9AYDQ5E8IECVFREPO6" localSheetId="20" hidden="1">[39]Table!#REF!</definedName>
    <definedName name="BExMBYPQDG9AYDQ5E8IECVFREPO6" hidden="1">[39]Table!#REF!</definedName>
    <definedName name="BExMBZ5YTPW7PFDUD2A9VUJ4HTNH" localSheetId="15" hidden="1">#REF!</definedName>
    <definedName name="BExMBZ5YTPW7PFDUD2A9VUJ4HTNH" localSheetId="16" hidden="1">#REF!</definedName>
    <definedName name="BExMBZ5YTPW7PFDUD2A9VUJ4HTNH" localSheetId="20" hidden="1">#REF!</definedName>
    <definedName name="BExMBZ5YTPW7PFDUD2A9VUJ4HTNH" hidden="1">#REF!</definedName>
    <definedName name="BExMBZM2XYYERB8X75SWZCZRQTT3" localSheetId="20" hidden="1">#REF!</definedName>
    <definedName name="BExMBZM2XYYERB8X75SWZCZRQTT3" hidden="1">#REF!</definedName>
    <definedName name="BExMC8AZUTX8LG89K2JJR7ZG62XX" localSheetId="20" hidden="1">#REF!</definedName>
    <definedName name="BExMC8AZUTX8LG89K2JJR7ZG62XX" hidden="1">#REF!</definedName>
    <definedName name="BExMCA96YR10V72G2R0SCIKPZLIZ" localSheetId="20" hidden="1">#REF!</definedName>
    <definedName name="BExMCA96YR10V72G2R0SCIKPZLIZ" hidden="1">#REF!</definedName>
    <definedName name="BExMCB5JU5I2VQDUBS4O42BTEVKI" localSheetId="20" hidden="1">#REF!</definedName>
    <definedName name="BExMCB5JU5I2VQDUBS4O42BTEVKI" hidden="1">#REF!</definedName>
    <definedName name="BExMCFSQFSEMPY5IXDIRKZDASDBR" localSheetId="20" hidden="1">#REF!</definedName>
    <definedName name="BExMCFSQFSEMPY5IXDIRKZDASDBR" hidden="1">#REF!</definedName>
    <definedName name="BExMCGUFAIU47IPVOIVWOZPLSX79" localSheetId="20" hidden="1">#REF!</definedName>
    <definedName name="BExMCGUFAIU47IPVOIVWOZPLSX79" hidden="1">#REF!</definedName>
    <definedName name="BExMCMZOEYWVOOJ98TBHTTCS7XB8" localSheetId="20" hidden="1">#REF!</definedName>
    <definedName name="BExMCMZOEYWVOOJ98TBHTTCS7XB8" hidden="1">#REF!</definedName>
    <definedName name="BExMCQQH8CGFPPPG70D6VV4J3XR6" localSheetId="20" hidden="1">#REF!</definedName>
    <definedName name="BExMCQQH8CGFPPPG70D6VV4J3XR6" hidden="1">#REF!</definedName>
    <definedName name="BExMCS8EF2W3FS9QADNKREYSI8P0" localSheetId="20" hidden="1">#REF!</definedName>
    <definedName name="BExMCS8EF2W3FS9QADNKREYSI8P0" hidden="1">#REF!</definedName>
    <definedName name="BExMCUS7GSOM96J0HJ7EH0FFM2AC" localSheetId="20" hidden="1">#REF!</definedName>
    <definedName name="BExMCUS7GSOM96J0HJ7EH0FFM2AC" hidden="1">#REF!</definedName>
    <definedName name="BExMCYTT6TVDWMJXO1NZANRTVNAN" localSheetId="20" hidden="1">#REF!</definedName>
    <definedName name="BExMCYTT6TVDWMJXO1NZANRTVNAN" hidden="1">#REF!</definedName>
    <definedName name="BExMD5F6IAV108XYJLXUO9HD0IT6" localSheetId="20" hidden="1">#REF!</definedName>
    <definedName name="BExMD5F6IAV108XYJLXUO9HD0IT6" hidden="1">#REF!</definedName>
    <definedName name="BExMDANV66W9T3XAXID40XFJ0J93" localSheetId="20" hidden="1">#REF!</definedName>
    <definedName name="BExMDANV66W9T3XAXID40XFJ0J93" hidden="1">#REF!</definedName>
    <definedName name="BExMDGD1KQP7NNR78X2ZX4FCBQ1S" localSheetId="20" hidden="1">#REF!</definedName>
    <definedName name="BExMDGD1KQP7NNR78X2ZX4FCBQ1S" hidden="1">#REF!</definedName>
    <definedName name="BExMDIRDK0DI8P86HB7WPH8QWLSQ" localSheetId="20" hidden="1">#REF!</definedName>
    <definedName name="BExMDIRDK0DI8P86HB7WPH8QWLSQ" hidden="1">#REF!</definedName>
    <definedName name="BExMDPI2FVMORSWDDCVAJ85WYAYO" localSheetId="20" hidden="1">#REF!</definedName>
    <definedName name="BExMDPI2FVMORSWDDCVAJ85WYAYO" hidden="1">#REF!</definedName>
    <definedName name="BExMDUWB7VWHFFR266QXO46BNV2S" localSheetId="20" hidden="1">#REF!</definedName>
    <definedName name="BExMDUWB7VWHFFR266QXO46BNV2S" hidden="1">#REF!</definedName>
    <definedName name="BExME2U47N8LZG0BPJ49ANY5QVV2" localSheetId="20" hidden="1">#REF!</definedName>
    <definedName name="BExME2U47N8LZG0BPJ49ANY5QVV2" hidden="1">#REF!</definedName>
    <definedName name="BExME5OOQT5THEZMTKUDCTJQJ75P" localSheetId="20" hidden="1">#REF!</definedName>
    <definedName name="BExME5OOQT5THEZMTKUDCTJQJ75P" hidden="1">#REF!</definedName>
    <definedName name="BExME88DH5DUKMUFI9FNVECXFD2E" localSheetId="20" hidden="1">#REF!</definedName>
    <definedName name="BExME88DH5DUKMUFI9FNVECXFD2E" hidden="1">#REF!</definedName>
    <definedName name="BExME9A7MOGAK7YTTQYXP5DL6VYA" localSheetId="20" hidden="1">#REF!</definedName>
    <definedName name="BExME9A7MOGAK7YTTQYXP5DL6VYA" hidden="1">#REF!</definedName>
    <definedName name="BExMEIF7MG94HDIP9UUN2B1R7AP9" localSheetId="20" hidden="1">#REF!</definedName>
    <definedName name="BExMEIF7MG94HDIP9UUN2B1R7AP9" hidden="1">#REF!</definedName>
    <definedName name="BExMEOV9YFRY5C3GDLU60GIX10BY" localSheetId="20" hidden="1">#REF!</definedName>
    <definedName name="BExMEOV9YFRY5C3GDLU60GIX10BY" hidden="1">#REF!</definedName>
    <definedName name="BExMEQ7OI6NAP3UP3UX0O5JKS0DV" localSheetId="20" hidden="1">#REF!</definedName>
    <definedName name="BExMEQ7OI6NAP3UP3UX0O5JKS0DV" hidden="1">#REF!</definedName>
    <definedName name="BExMEY09ESM4H2YGKEQQRYUD114R" localSheetId="20" hidden="1">#REF!</definedName>
    <definedName name="BExMEY09ESM4H2YGKEQQRYUD114R" hidden="1">#REF!</definedName>
    <definedName name="BExMF4G4IUPQY1Y5GEY5N3E04CL6" localSheetId="20" hidden="1">#REF!</definedName>
    <definedName name="BExMF4G4IUPQY1Y5GEY5N3E04CL6" hidden="1">#REF!</definedName>
    <definedName name="BExMF5I0YYHYSHHGNQEI50YPTUFU" localSheetId="20" hidden="1">#REF!</definedName>
    <definedName name="BExMF5I0YYHYSHHGNQEI50YPTUFU" hidden="1">#REF!</definedName>
    <definedName name="BExMF9UIGYMOAQK0ELUWP0S0HZZY" localSheetId="20" hidden="1">#REF!</definedName>
    <definedName name="BExMF9UIGYMOAQK0ELUWP0S0HZZY" hidden="1">#REF!</definedName>
    <definedName name="BExMFDLBSWFMRDYJ2DZETI3EXKN2" localSheetId="20" hidden="1">#REF!</definedName>
    <definedName name="BExMFDLBSWFMRDYJ2DZETI3EXKN2" hidden="1">#REF!</definedName>
    <definedName name="BExMFLDTMRTCHKA37LQW67BG8D5C" localSheetId="20" hidden="1">#REF!</definedName>
    <definedName name="BExMFLDTMRTCHKA37LQW67BG8D5C" hidden="1">#REF!</definedName>
    <definedName name="BExMFYPXA6CPPQEIQCZVJ1O8CC3D" localSheetId="20" hidden="1">#REF!</definedName>
    <definedName name="BExMFYPXA6CPPQEIQCZVJ1O8CC3D" hidden="1">#REF!</definedName>
    <definedName name="BExMG3IJ4BTO1ISLMJY91RJVU21M" localSheetId="20" hidden="1">#REF!</definedName>
    <definedName name="BExMG3IJ4BTO1ISLMJY91RJVU21M" hidden="1">#REF!</definedName>
    <definedName name="BExMG9NSK30KD01QX0UBN2VNRTG4" localSheetId="20" hidden="1">#REF!</definedName>
    <definedName name="BExMG9NSK30KD01QX0UBN2VNRTG4" hidden="1">#REF!</definedName>
    <definedName name="BExMGD99CUH3CN5F5OWTFJPXIOC5" localSheetId="20" hidden="1">#REF!</definedName>
    <definedName name="BExMGD99CUH3CN5F5OWTFJPXIOC5" hidden="1">#REF!</definedName>
    <definedName name="BExMGG3PFIHPHX7NXB7HDFI3N12L" localSheetId="20" hidden="1">#REF!</definedName>
    <definedName name="BExMGG3PFIHPHX7NXB7HDFI3N12L" hidden="1">#REF!</definedName>
    <definedName name="BExMGGUQP0X7T5PIESJE86819NLZ" localSheetId="20" hidden="1">#REF!</definedName>
    <definedName name="BExMGGUQP0X7T5PIESJE86819NLZ" hidden="1">#REF!</definedName>
    <definedName name="BExMH3H9TW5TJCNU5Z1EWXP3BAEP" localSheetId="20" hidden="1">#REF!</definedName>
    <definedName name="BExMH3H9TW5TJCNU5Z1EWXP3BAEP" hidden="1">#REF!</definedName>
    <definedName name="BExMHOWPB34KPZ76M2KIX2C9R2VB" localSheetId="20" hidden="1">#REF!</definedName>
    <definedName name="BExMHOWPB34KPZ76M2KIX2C9R2VB" hidden="1">#REF!</definedName>
    <definedName name="BExMHSSYC6KVHA3QDTSYPN92TWMI" localSheetId="20" hidden="1">#REF!</definedName>
    <definedName name="BExMHSSYC6KVHA3QDTSYPN92TWMI" hidden="1">#REF!</definedName>
    <definedName name="BExMI0WA793SF41LQ40A28U8OXQY" localSheetId="20" hidden="1">#REF!</definedName>
    <definedName name="BExMI0WA793SF41LQ40A28U8OXQY" hidden="1">#REF!</definedName>
    <definedName name="BExMI3AJ9477KDL4T9DHET4LJJTW" localSheetId="20" hidden="1">#REF!</definedName>
    <definedName name="BExMI3AJ9477KDL4T9DHET4LJJTW" hidden="1">#REF!</definedName>
    <definedName name="BExMI58NHPZ1UTOZCYFOQPS8I7WN" localSheetId="20" hidden="1">#REF!</definedName>
    <definedName name="BExMI58NHPZ1UTOZCYFOQPS8I7WN" hidden="1">#REF!</definedName>
    <definedName name="BExMI6L9KX05GAK523JFKICJMTA5" localSheetId="20" hidden="1">#REF!</definedName>
    <definedName name="BExMI6L9KX05GAK523JFKICJMTA5" hidden="1">#REF!</definedName>
    <definedName name="BExMI6QQ20XHD0NWJUN741B37182" localSheetId="20" hidden="1">#REF!</definedName>
    <definedName name="BExMI6QQ20XHD0NWJUN741B37182" hidden="1">#REF!</definedName>
    <definedName name="BExMI7MYLMINF9AC59CYYVFGQJAY" localSheetId="20" hidden="1">#REF!</definedName>
    <definedName name="BExMI7MYLMINF9AC59CYYVFGQJAY" hidden="1">#REF!</definedName>
    <definedName name="BExMI8JB94SBD9EMNJEK7Y2T6GYU" localSheetId="20" hidden="1">#REF!</definedName>
    <definedName name="BExMI8JB94SBD9EMNJEK7Y2T6GYU" hidden="1">#REF!</definedName>
    <definedName name="BExMI8OS85YTW3KYVE4YD0R7Z6UV" localSheetId="20" hidden="1">#REF!</definedName>
    <definedName name="BExMI8OS85YTW3KYVE4YD0R7Z6UV" hidden="1">#REF!</definedName>
    <definedName name="BExMIBOOZU40JS3F89OMPSRCE9MM" localSheetId="20" hidden="1">#REF!</definedName>
    <definedName name="BExMIBOOZU40JS3F89OMPSRCE9MM" hidden="1">#REF!</definedName>
    <definedName name="BExMIHJ01IVQHPV5ZNO9UPQB64N8" localSheetId="20" hidden="1">#REF!</definedName>
    <definedName name="BExMIHJ01IVQHPV5ZNO9UPQB64N8" hidden="1">#REF!</definedName>
    <definedName name="BExMIIQ5MBWSIHTFWAQADXMZC22Q" localSheetId="20" hidden="1">#REF!</definedName>
    <definedName name="BExMIIQ5MBWSIHTFWAQADXMZC22Q" hidden="1">#REF!</definedName>
    <definedName name="BExMIL4I2GE866I25CR5JBLJWJ6A" localSheetId="20" hidden="1">#REF!</definedName>
    <definedName name="BExMIL4I2GE866I25CR5JBLJWJ6A" hidden="1">#REF!</definedName>
    <definedName name="BExMIRKIPF27SNO82SPFSB3T5U17" localSheetId="20" hidden="1">#REF!</definedName>
    <definedName name="BExMIRKIPF27SNO82SPFSB3T5U17" hidden="1">#REF!</definedName>
    <definedName name="BExMITILFEELDXT62AREXCM0DX4R" localSheetId="20" hidden="1">#REF!</definedName>
    <definedName name="BExMITILFEELDXT62AREXCM0DX4R" hidden="1">#REF!</definedName>
    <definedName name="BExMIV0KC8555D5E42ZGWG15Y0MO" localSheetId="20" hidden="1">#REF!</definedName>
    <definedName name="BExMIV0KC8555D5E42ZGWG15Y0MO" hidden="1">#REF!</definedName>
    <definedName name="BExMIZT6AN7E6YMW2S87CTCN2UXH" localSheetId="20" hidden="1">#REF!</definedName>
    <definedName name="BExMIZT6AN7E6YMW2S87CTCN2UXH" hidden="1">#REF!</definedName>
    <definedName name="BExMJ03XNEEQE05W28YBDN4G56JD" localSheetId="20" hidden="1">#REF!</definedName>
    <definedName name="BExMJ03XNEEQE05W28YBDN4G56JD" hidden="1">#REF!</definedName>
    <definedName name="BExMJ15T9F3475M0896SG60TN0SR" localSheetId="20" hidden="1">#REF!</definedName>
    <definedName name="BExMJ15T9F3475M0896SG60TN0SR" hidden="1">#REF!</definedName>
    <definedName name="BExMJ39CRE4I6SJI19LKWDKX3OQ2" localSheetId="20" hidden="1">#REF!</definedName>
    <definedName name="BExMJ39CRE4I6SJI19LKWDKX3OQ2" hidden="1">#REF!</definedName>
    <definedName name="BExMJC8UI1MMXIJR29O1IWETLHH6" localSheetId="20" hidden="1">#REF!</definedName>
    <definedName name="BExMJC8UI1MMXIJR29O1IWETLHH6" hidden="1">#REF!</definedName>
    <definedName name="BExMJNC8ZFB9DRFOJ961ZAJ8U3A8" localSheetId="20" hidden="1">#REF!</definedName>
    <definedName name="BExMJNC8ZFB9DRFOJ961ZAJ8U3A8" hidden="1">#REF!</definedName>
    <definedName name="BExMJSA6JY35531TSI8ZQP6U7CDE" localSheetId="20" hidden="1">#REF!</definedName>
    <definedName name="BExMJSA6JY35531TSI8ZQP6U7CDE" hidden="1">#REF!</definedName>
    <definedName name="BExMJTBV8A3D31W2IQHP9RDFPPHQ" localSheetId="20" hidden="1">#REF!</definedName>
    <definedName name="BExMJTBV8A3D31W2IQHP9RDFPPHQ" hidden="1">#REF!</definedName>
    <definedName name="BExMK2RTXN4QJWEUNX002XK8VQP8" localSheetId="20" hidden="1">#REF!</definedName>
    <definedName name="BExMK2RTXN4QJWEUNX002XK8VQP8" hidden="1">#REF!</definedName>
    <definedName name="BExMK3YZF17HAMXX3PO2KP6S46ZU" localSheetId="20" hidden="1">#REF!</definedName>
    <definedName name="BExMK3YZF17HAMXX3PO2KP6S46ZU" hidden="1">#REF!</definedName>
    <definedName name="BExMKBGQDUZ8AWXYHA3QVMSDVZ3D" localSheetId="20" hidden="1">#REF!</definedName>
    <definedName name="BExMKBGQDUZ8AWXYHA3QVMSDVZ3D" hidden="1">#REF!</definedName>
    <definedName name="BExMKBM1467553LDFZRRKVSHN374" localSheetId="20" hidden="1">#REF!</definedName>
    <definedName name="BExMKBM1467553LDFZRRKVSHN374" hidden="1">#REF!</definedName>
    <definedName name="BExMKGK5FJUC0AU8MABRGDC5ZM70" localSheetId="20" hidden="1">#REF!</definedName>
    <definedName name="BExMKGK5FJUC0AU8MABRGDC5ZM70" hidden="1">#REF!</definedName>
    <definedName name="BExMKISYVO6POIGSJWIW3PHDYL45" localSheetId="20" hidden="1">#REF!</definedName>
    <definedName name="BExMKISYVO6POIGSJWIW3PHDYL45" hidden="1">#REF!</definedName>
    <definedName name="BExMKSP1VOPPTKX4WEPT3LUKE8WQ" localSheetId="20" hidden="1">#REF!</definedName>
    <definedName name="BExMKSP1VOPPTKX4WEPT3LUKE8WQ" hidden="1">#REF!</definedName>
    <definedName name="BExMKTW7R5SOV4PHAFGHU3W73DYE" localSheetId="20" hidden="1">#REF!</definedName>
    <definedName name="BExMKTW7R5SOV4PHAFGHU3W73DYE" hidden="1">#REF!</definedName>
    <definedName name="BExMKU7051J2W1RQXGZGE62NBRUZ" localSheetId="20" hidden="1">#REF!</definedName>
    <definedName name="BExMKU7051J2W1RQXGZGE62NBRUZ" hidden="1">#REF!</definedName>
    <definedName name="BExMKUN3WPECJR2XRID2R7GZRGNX" localSheetId="20" hidden="1">#REF!</definedName>
    <definedName name="BExMKUN3WPECJR2XRID2R7GZRGNX" hidden="1">#REF!</definedName>
    <definedName name="BExMKZ535P011X4TNV16GCOH4H21" localSheetId="20" hidden="1">#REF!</definedName>
    <definedName name="BExMKZ535P011X4TNV16GCOH4H21" hidden="1">#REF!</definedName>
    <definedName name="BExML2VXA0E0WCJ13O00WFMOW4RI" localSheetId="20" hidden="1">#REF!</definedName>
    <definedName name="BExML2VXA0E0WCJ13O00WFMOW4RI" hidden="1">#REF!</definedName>
    <definedName name="BExML3XQNDIMX55ZCHHXKUV3D6E6" localSheetId="20" hidden="1">#REF!</definedName>
    <definedName name="BExML3XQNDIMX55ZCHHXKUV3D6E6" hidden="1">#REF!</definedName>
    <definedName name="BExML5QGSWHLI18BGY4CGOTD3UWH" localSheetId="20" hidden="1">#REF!</definedName>
    <definedName name="BExML5QGSWHLI18BGY4CGOTD3UWH" hidden="1">#REF!</definedName>
    <definedName name="BExML6MTWMIEAK6NWSBVYN98A7G9" localSheetId="20" hidden="1">#REF!</definedName>
    <definedName name="BExML6MTWMIEAK6NWSBVYN98A7G9" hidden="1">#REF!</definedName>
    <definedName name="BExMLO5Z61RE85X8HHX2G4IU3AZW" localSheetId="20" hidden="1">#REF!</definedName>
    <definedName name="BExMLO5Z61RE85X8HHX2G4IU3AZW" hidden="1">#REF!</definedName>
    <definedName name="BExMLVI7UORSHM9FMO8S2EI0TMTS" localSheetId="20" hidden="1">#REF!</definedName>
    <definedName name="BExMLVI7UORSHM9FMO8S2EI0TMTS" hidden="1">#REF!</definedName>
    <definedName name="BExMM5UCOT2HSSN0ZIPZW55GSOVO" localSheetId="20" hidden="1">#REF!</definedName>
    <definedName name="BExMM5UCOT2HSSN0ZIPZW55GSOVO" hidden="1">#REF!</definedName>
    <definedName name="BExMM8ZRS5RQ8H1H55RVPVTDL5NL" localSheetId="20" hidden="1">#REF!</definedName>
    <definedName name="BExMM8ZRS5RQ8H1H55RVPVTDL5NL" hidden="1">#REF!</definedName>
    <definedName name="BExMMH8EAZB09XXQ5X4LR0P4NHG9" localSheetId="20" hidden="1">#REF!</definedName>
    <definedName name="BExMMH8EAZB09XXQ5X4LR0P4NHG9" hidden="1">#REF!</definedName>
    <definedName name="BExMMIQH5BABNZVCIQ7TBCQ10AY5" localSheetId="20" hidden="1">#REF!</definedName>
    <definedName name="BExMMIQH5BABNZVCIQ7TBCQ10AY5" hidden="1">#REF!</definedName>
    <definedName name="BExMMNIZ2T7M22WECMUQXEF4NJ71" localSheetId="20" hidden="1">#REF!</definedName>
    <definedName name="BExMMNIZ2T7M22WECMUQXEF4NJ71" hidden="1">#REF!</definedName>
    <definedName name="BExMMPMIOU7BURTV0L1K6ACW9X73" localSheetId="20" hidden="1">#REF!</definedName>
    <definedName name="BExMMPMIOU7BURTV0L1K6ACW9X73" hidden="1">#REF!</definedName>
    <definedName name="BExMMQ835AJDHS4B419SS645P67Q" localSheetId="20" hidden="1">#REF!</definedName>
    <definedName name="BExMMQ835AJDHS4B419SS645P67Q" hidden="1">#REF!</definedName>
    <definedName name="BExMMQ844A9KG2DK921WGK4O9YPZ" localSheetId="20" hidden="1">#REF!</definedName>
    <definedName name="BExMMQ844A9KG2DK921WGK4O9YPZ" hidden="1">#REF!</definedName>
    <definedName name="BExMMQIUVPCOBISTEJJYNCCLUCPY" localSheetId="20" hidden="1">#REF!</definedName>
    <definedName name="BExMMQIUVPCOBISTEJJYNCCLUCPY" hidden="1">#REF!</definedName>
    <definedName name="BExMMSH37SF6GV4N9O9EW1APAZ1E" localSheetId="20" hidden="1">#REF!</definedName>
    <definedName name="BExMMSH37SF6GV4N9O9EW1APAZ1E" hidden="1">#REF!</definedName>
    <definedName name="BExMMTIXETA5VAKBSOFDD5SRU887" localSheetId="20" hidden="1">#REF!</definedName>
    <definedName name="BExMMTIXETA5VAKBSOFDD5SRU887" hidden="1">#REF!</definedName>
    <definedName name="BExMMV0P6P5YS3C35G0JYYHI7992" localSheetId="20" hidden="1">#REF!</definedName>
    <definedName name="BExMMV0P6P5YS3C35G0JYYHI7992" hidden="1">#REF!</definedName>
    <definedName name="BExMN1WVXE52MEF2NT3IVTY8KJQM" localSheetId="20" hidden="1">#REF!</definedName>
    <definedName name="BExMN1WVXE52MEF2NT3IVTY8KJQM" hidden="1">#REF!</definedName>
    <definedName name="BExMN2IH1J3S3D19MIV7YYZMS9DV" localSheetId="20" hidden="1">#REF!</definedName>
    <definedName name="BExMN2IH1J3S3D19MIV7YYZMS9DV" hidden="1">#REF!</definedName>
    <definedName name="BExMNAWJNSZ1W6QTQUX8O56Y0NF2" localSheetId="20" hidden="1">'[38]10.08.5 - 2008 Capital - TDBU'!#REF!</definedName>
    <definedName name="BExMNAWJNSZ1W6QTQUX8O56Y0NF2" hidden="1">'[38]10.08.5 - 2008 Capital - TDBU'!#REF!</definedName>
    <definedName name="BExMNDR4V2VG5RFZDGTAGD3Q9PPG" localSheetId="15" hidden="1">#REF!</definedName>
    <definedName name="BExMNDR4V2VG5RFZDGTAGD3Q9PPG" localSheetId="16" hidden="1">#REF!</definedName>
    <definedName name="BExMNDR4V2VG5RFZDGTAGD3Q9PPG" localSheetId="20" hidden="1">#REF!</definedName>
    <definedName name="BExMNDR4V2VG5RFZDGTAGD3Q9PPG" hidden="1">#REF!</definedName>
    <definedName name="BExMNJLFWZBRN9PZF1IO9CYWV1B2" localSheetId="20" hidden="1">#REF!</definedName>
    <definedName name="BExMNJLFWZBRN9PZF1IO9CYWV1B2" hidden="1">#REF!</definedName>
    <definedName name="BExMNKCJ0FA57YEUUAJE43U1QN5P" localSheetId="20" hidden="1">#REF!</definedName>
    <definedName name="BExMNKCJ0FA57YEUUAJE43U1QN5P" hidden="1">#REF!</definedName>
    <definedName name="BExMNKN5D1WEF2OOJVP6LZ6DLU3Y" localSheetId="20" hidden="1">#REF!</definedName>
    <definedName name="BExMNKN5D1WEF2OOJVP6LZ6DLU3Y" hidden="1">#REF!</definedName>
    <definedName name="BExMNR38HMPLWAJRQ9MMS3ZAZ9IU" localSheetId="20" hidden="1">#REF!</definedName>
    <definedName name="BExMNR38HMPLWAJRQ9MMS3ZAZ9IU" hidden="1">#REF!</definedName>
    <definedName name="BExMNRDZULKJMVY2VKIIRM2M5A1M" localSheetId="20" hidden="1">#REF!</definedName>
    <definedName name="BExMNRDZULKJMVY2VKIIRM2M5A1M" hidden="1">#REF!</definedName>
    <definedName name="BExMO9IOWKTWHO8LQJJQI5P3INWY" localSheetId="20" hidden="1">#REF!</definedName>
    <definedName name="BExMO9IOWKTWHO8LQJJQI5P3INWY" hidden="1">#REF!</definedName>
    <definedName name="BExMOI29DOEK5R1A5QZPUDKF7N6T" localSheetId="20" hidden="1">#REF!</definedName>
    <definedName name="BExMOI29DOEK5R1A5QZPUDKF7N6T" hidden="1">#REF!</definedName>
    <definedName name="BExMOIYOIL4KOXZBI7MJYXPIV1QJ" localSheetId="20" hidden="1">#REF!</definedName>
    <definedName name="BExMOIYOIL4KOXZBI7MJYXPIV1QJ" hidden="1">#REF!</definedName>
    <definedName name="BExMORI2ZA9JU0J28GT1ZAXP5A9C" localSheetId="20" hidden="1">#REF!</definedName>
    <definedName name="BExMORI2ZA9JU0J28GT1ZAXP5A9C" hidden="1">#REF!</definedName>
    <definedName name="BExMPAJ5AJAXGKGK3F6H3ODS6RF4" localSheetId="20" hidden="1">#REF!</definedName>
    <definedName name="BExMPAJ5AJAXGKGK3F6H3ODS6RF4" hidden="1">#REF!</definedName>
    <definedName name="BExMPD2X55FFBVJ6CBUKNPROIOEU" localSheetId="20" hidden="1">#REF!</definedName>
    <definedName name="BExMPD2X55FFBVJ6CBUKNPROIOEU" hidden="1">#REF!</definedName>
    <definedName name="BExMPGZ848E38FUH1JBQN97DGWAT" localSheetId="20" hidden="1">#REF!</definedName>
    <definedName name="BExMPGZ848E38FUH1JBQN97DGWAT" hidden="1">#REF!</definedName>
    <definedName name="BExMPMTICOSMQENOFKQ18K0ZT4S8" localSheetId="20" hidden="1">#REF!</definedName>
    <definedName name="BExMPMTICOSMQENOFKQ18K0ZT4S8" hidden="1">#REF!</definedName>
    <definedName name="BExMPMZ07II0R4KGWQQ7PGS3RZS4" localSheetId="20" hidden="1">#REF!</definedName>
    <definedName name="BExMPMZ07II0R4KGWQQ7PGS3RZS4" hidden="1">#REF!</definedName>
    <definedName name="BExMPOBH04JMDO6Z8DMSEJZM4ANN" localSheetId="20" hidden="1">#REF!</definedName>
    <definedName name="BExMPOBH04JMDO6Z8DMSEJZM4ANN" hidden="1">#REF!</definedName>
    <definedName name="BExMPSD77XQ3HA6A4FZOJK8G2JP3" localSheetId="20" hidden="1">#REF!</definedName>
    <definedName name="BExMPSD77XQ3HA6A4FZOJK8G2JP3" hidden="1">#REF!</definedName>
    <definedName name="BExMPT9KA5ZL7QPEO8EJSGDXUSF6" localSheetId="20" hidden="1">#REF!</definedName>
    <definedName name="BExMPT9KA5ZL7QPEO8EJSGDXUSF6" hidden="1">#REF!</definedName>
    <definedName name="BExMQ4I3Q7F0BMPHSFMFW9TZ87UD" localSheetId="20" hidden="1">#REF!</definedName>
    <definedName name="BExMQ4I3Q7F0BMPHSFMFW9TZ87UD" hidden="1">#REF!</definedName>
    <definedName name="BExMQ4SWDWI4N16AZ0T5CJ6HH8WC" localSheetId="20" hidden="1">#REF!</definedName>
    <definedName name="BExMQ4SWDWI4N16AZ0T5CJ6HH8WC" hidden="1">#REF!</definedName>
    <definedName name="BExMQ71WHW50GVX45JU951AGPLFQ" localSheetId="20" hidden="1">#REF!</definedName>
    <definedName name="BExMQ71WHW50GVX45JU951AGPLFQ" hidden="1">#REF!</definedName>
    <definedName name="BExMQGXSLPT4A6N47LE6FBVHWBOF" localSheetId="20" hidden="1">#REF!</definedName>
    <definedName name="BExMQGXSLPT4A6N47LE6FBVHWBOF" hidden="1">#REF!</definedName>
    <definedName name="BExMQSBR7PL4KLB1Q4961QO45Y4G" localSheetId="20" hidden="1">#REF!</definedName>
    <definedName name="BExMQSBR7PL4KLB1Q4961QO45Y4G" hidden="1">#REF!</definedName>
    <definedName name="BExMR1MA4I1X77714ZEPUVC8W398" localSheetId="20" hidden="1">#REF!</definedName>
    <definedName name="BExMR1MA4I1X77714ZEPUVC8W398" hidden="1">#REF!</definedName>
    <definedName name="BExMR8YQHA7N77HGHY4Y6R30I3XT" localSheetId="20" hidden="1">#REF!</definedName>
    <definedName name="BExMR8YQHA7N77HGHY4Y6R30I3XT" hidden="1">#REF!</definedName>
    <definedName name="BExMRENOIARWRYOIVPDIEBVNRDO7" localSheetId="20" hidden="1">#REF!</definedName>
    <definedName name="BExMRENOIARWRYOIVPDIEBVNRDO7" hidden="1">#REF!</definedName>
    <definedName name="BExMRQHUEHGF2FS4LCB0THFELGDI" localSheetId="20" hidden="1">#REF!</definedName>
    <definedName name="BExMRQHUEHGF2FS4LCB0THFELGDI" hidden="1">#REF!</definedName>
    <definedName name="BExMRRJNUMGRSDD5GGKKGEIZ6FTS" localSheetId="20" hidden="1">#REF!</definedName>
    <definedName name="BExMRRJNUMGRSDD5GGKKGEIZ6FTS" hidden="1">#REF!</definedName>
    <definedName name="BExMRU3ACIU0RD2BNWO55LH5U2BR" localSheetId="20" hidden="1">#REF!</definedName>
    <definedName name="BExMRU3ACIU0RD2BNWO55LH5U2BR" hidden="1">#REF!</definedName>
    <definedName name="BExMS86DS3IHF2GL3USMAG2JZHWC" localSheetId="20" hidden="1">#REF!</definedName>
    <definedName name="BExMS86DS3IHF2GL3USMAG2JZHWC" hidden="1">#REF!</definedName>
    <definedName name="BExMSCO8TZ680ZEYN2WP0KB738IZ" localSheetId="20" hidden="1">#REF!</definedName>
    <definedName name="BExMSCO8TZ680ZEYN2WP0KB738IZ" hidden="1">#REF!</definedName>
    <definedName name="BExMSQRCC40AP8BDUPL2I2DNC210" localSheetId="20" hidden="1">#REF!</definedName>
    <definedName name="BExMSQRCC40AP8BDUPL2I2DNC210" hidden="1">#REF!</definedName>
    <definedName name="BExO4J9LR712G00TVA82VNTG8O7H" localSheetId="20" hidden="1">#REF!</definedName>
    <definedName name="BExO4J9LR712G00TVA82VNTG8O7H" hidden="1">#REF!</definedName>
    <definedName name="BExO4WGD4T7PXNGQYFD65V3BP906" localSheetId="20" hidden="1">'[38]10.08.5 - 2008 Capital - TDBU'!#REF!</definedName>
    <definedName name="BExO4WGD4T7PXNGQYFD65V3BP906" hidden="1">'[38]10.08.5 - 2008 Capital - TDBU'!#REF!</definedName>
    <definedName name="BExO55G2KVZ7MIJ30N827CLH0I2A" localSheetId="15" hidden="1">#REF!</definedName>
    <definedName name="BExO55G2KVZ7MIJ30N827CLH0I2A" localSheetId="16" hidden="1">#REF!</definedName>
    <definedName name="BExO55G2KVZ7MIJ30N827CLH0I2A" localSheetId="20" hidden="1">#REF!</definedName>
    <definedName name="BExO55G2KVZ7MIJ30N827CLH0I2A" hidden="1">#REF!</definedName>
    <definedName name="BExO5A8PZD9EUHC5CMPU6N3SQ15L" localSheetId="20" hidden="1">#REF!</definedName>
    <definedName name="BExO5A8PZD9EUHC5CMPU6N3SQ15L" hidden="1">#REF!</definedName>
    <definedName name="BExO5XMAHL7CY3X0B1OPKZ28DCJ5" localSheetId="20" hidden="1">#REF!</definedName>
    <definedName name="BExO5XMAHL7CY3X0B1OPKZ28DCJ5" hidden="1">#REF!</definedName>
    <definedName name="BExO64NREBN75DKW0OMYAUWYVY5S" localSheetId="20" hidden="1">#REF!</definedName>
    <definedName name="BExO64NREBN75DKW0OMYAUWYVY5S" hidden="1">#REF!</definedName>
    <definedName name="BExO66LZJKY4PTQVREELI6POS4AY" localSheetId="20" hidden="1">#REF!</definedName>
    <definedName name="BExO66LZJKY4PTQVREELI6POS4AY" hidden="1">#REF!</definedName>
    <definedName name="BExO6LLHCYTF7CIVHKAO0NMET14Q" localSheetId="20" hidden="1">#REF!</definedName>
    <definedName name="BExO6LLHCYTF7CIVHKAO0NMET14Q" hidden="1">#REF!</definedName>
    <definedName name="BExO6QE36OX39618EFGY819YKS0N" localSheetId="20" hidden="1">#REF!</definedName>
    <definedName name="BExO6QE36OX39618EFGY819YKS0N" hidden="1">#REF!</definedName>
    <definedName name="BExO6Y6LB0P6L4JTH4J6TCB4OHW8" localSheetId="20" hidden="1">#REF!</definedName>
    <definedName name="BExO6Y6LB0P6L4JTH4J6TCB4OHW8" hidden="1">#REF!</definedName>
    <definedName name="BExO7OUQS3XTUQ2LDKGQ8AAQ3OJJ" localSheetId="20" hidden="1">#REF!</definedName>
    <definedName name="BExO7OUQS3XTUQ2LDKGQ8AAQ3OJJ" hidden="1">#REF!</definedName>
    <definedName name="BExO7RUSODZC2NQZMT2AFSMV2ONF" localSheetId="20" hidden="1">#REF!</definedName>
    <definedName name="BExO7RUSODZC2NQZMT2AFSMV2ONF" hidden="1">#REF!</definedName>
    <definedName name="BExO7VLLWHHV7J25Z3RPF2PK6D8H" localSheetId="20" hidden="1">#REF!</definedName>
    <definedName name="BExO7VLLWHHV7J25Z3RPF2PK6D8H" hidden="1">#REF!</definedName>
    <definedName name="BExO7WNA0JRE553ALPEZODW1ICID" localSheetId="20" hidden="1">#REF!</definedName>
    <definedName name="BExO7WNA0JRE553ALPEZODW1ICID" hidden="1">#REF!</definedName>
    <definedName name="BExO85HMYXZJ7SONWBKKIAXMCI3C" localSheetId="20" hidden="1">#REF!</definedName>
    <definedName name="BExO85HMYXZJ7SONWBKKIAXMCI3C" hidden="1">#REF!</definedName>
    <definedName name="BExO863922O4PBGQMUNEQKGN3K96" localSheetId="20" hidden="1">#REF!</definedName>
    <definedName name="BExO863922O4PBGQMUNEQKGN3K96" hidden="1">#REF!</definedName>
    <definedName name="BExO89ZIOXN0HOKHY24F7HDZ87UT" localSheetId="20" hidden="1">#REF!</definedName>
    <definedName name="BExO89ZIOXN0HOKHY24F7HDZ87UT" hidden="1">#REF!</definedName>
    <definedName name="BExO8BXK76C9VFPKRARWMK6YTJ6O" localSheetId="20" hidden="1">#REF!</definedName>
    <definedName name="BExO8BXK76C9VFPKRARWMK6YTJ6O" hidden="1">#REF!</definedName>
    <definedName name="BExO8CDTBCABLEUD6PE2UM2EZ6C4" localSheetId="20" hidden="1">#REF!</definedName>
    <definedName name="BExO8CDTBCABLEUD6PE2UM2EZ6C4" hidden="1">#REF!</definedName>
    <definedName name="BExO8I85NBW303RBA7RZM8Q42KKU" localSheetId="20" hidden="1">#REF!</definedName>
    <definedName name="BExO8I85NBW303RBA7RZM8Q42KKU" hidden="1">#REF!</definedName>
    <definedName name="BExO8IZ05ZG0XVOL3W41KBQE176A" localSheetId="20" hidden="1">#REF!</definedName>
    <definedName name="BExO8IZ05ZG0XVOL3W41KBQE176A" hidden="1">#REF!</definedName>
    <definedName name="BExO8SK9JB6X989C2E50VDFI9589" localSheetId="20" hidden="1">#REF!</definedName>
    <definedName name="BExO8SK9JB6X989C2E50VDFI9589" hidden="1">#REF!</definedName>
    <definedName name="BExO8SPR4QWYLQRJDDPI2HTYU64C" localSheetId="20" hidden="1">#REF!</definedName>
    <definedName name="BExO8SPR4QWYLQRJDDPI2HTYU64C" hidden="1">#REF!</definedName>
    <definedName name="BExO8UTAGQWDBQZEEF4HUNMLQCVU" localSheetId="20" hidden="1">#REF!</definedName>
    <definedName name="BExO8UTAGQWDBQZEEF4HUNMLQCVU" hidden="1">#REF!</definedName>
    <definedName name="BExO8ZWPPH977G7OJO9G8JR25ZG1" localSheetId="20" hidden="1">#REF!</definedName>
    <definedName name="BExO8ZWPPH977G7OJO9G8JR25ZG1" hidden="1">#REF!</definedName>
    <definedName name="BExO937E20IHMGQOZMECL3VZC7OX" localSheetId="20" hidden="1">#REF!</definedName>
    <definedName name="BExO937E20IHMGQOZMECL3VZC7OX" hidden="1">#REF!</definedName>
    <definedName name="BExO94UTJKQQ7TJTTJRTSR70YVJC" localSheetId="20" hidden="1">#REF!</definedName>
    <definedName name="BExO94UTJKQQ7TJTTJRTSR70YVJC" hidden="1">#REF!</definedName>
    <definedName name="BExO9AZXF5CN7MTM11IM5SV2RXHY" localSheetId="20" hidden="1">#REF!</definedName>
    <definedName name="BExO9AZXF5CN7MTM11IM5SV2RXHY" hidden="1">#REF!</definedName>
    <definedName name="BExO9J3A438976RXIUX5U9SU5T55" localSheetId="20" hidden="1">#REF!</definedName>
    <definedName name="BExO9J3A438976RXIUX5U9SU5T55" hidden="1">#REF!</definedName>
    <definedName name="BExO9RS5RXFJ1911HL3CCK6M74EP" localSheetId="20" hidden="1">#REF!</definedName>
    <definedName name="BExO9RS5RXFJ1911HL3CCK6M74EP" hidden="1">#REF!</definedName>
    <definedName name="BExO9SDRI1M6KMHXSG3AE5L0F2U3" localSheetId="20" hidden="1">#REF!</definedName>
    <definedName name="BExO9SDRI1M6KMHXSG3AE5L0F2U3" hidden="1">#REF!</definedName>
    <definedName name="BExO9V2U2YXAY904GYYGU6TD8Y7M" localSheetId="20" hidden="1">#REF!</definedName>
    <definedName name="BExO9V2U2YXAY904GYYGU6TD8Y7M" hidden="1">#REF!</definedName>
    <definedName name="BExOAQ3GKCT7YZW1EMVU3EILSZL2" localSheetId="20" hidden="1">#REF!</definedName>
    <definedName name="BExOAQ3GKCT7YZW1EMVU3EILSZL2" hidden="1">#REF!</definedName>
    <definedName name="BExOAULC4L2CQJSFPGMEJUUTI5B1" localSheetId="20" hidden="1">#REF!</definedName>
    <definedName name="BExOAULC4L2CQJSFPGMEJUUTI5B1" hidden="1">#REF!</definedName>
    <definedName name="BExOAZU2Y521ZUPN4R2HWBIUQKKR" localSheetId="20" hidden="1">#REF!</definedName>
    <definedName name="BExOAZU2Y521ZUPN4R2HWBIUQKKR" hidden="1">#REF!</definedName>
    <definedName name="BExOB9KT2THGV4SPLDVFTFXS4B14" localSheetId="20" hidden="1">#REF!</definedName>
    <definedName name="BExOB9KT2THGV4SPLDVFTFXS4B14" hidden="1">#REF!</definedName>
    <definedName name="BExOBEZ0IE2WBEYY3D3CMRI72N1K" localSheetId="20" hidden="1">#REF!</definedName>
    <definedName name="BExOBEZ0IE2WBEYY3D3CMRI72N1K" hidden="1">#REF!</definedName>
    <definedName name="BExOBIPU8760ITY0C8N27XZ3KWEF" localSheetId="20" hidden="1">#REF!</definedName>
    <definedName name="BExOBIPU8760ITY0C8N27XZ3KWEF" hidden="1">#REF!</definedName>
    <definedName name="BExOBM0I5L0MZ1G4H9MGMD87SBMZ" localSheetId="20" hidden="1">#REF!</definedName>
    <definedName name="BExOBM0I5L0MZ1G4H9MGMD87SBMZ" hidden="1">#REF!</definedName>
    <definedName name="BExOBOUXMP88KJY2BX2JLUJH5N0K" localSheetId="20" hidden="1">#REF!</definedName>
    <definedName name="BExOBOUXMP88KJY2BX2JLUJH5N0K" hidden="1">#REF!</definedName>
    <definedName name="BExOBP0FKQ4SVR59FB48UNLKCOR6" localSheetId="20" hidden="1">#REF!</definedName>
    <definedName name="BExOBP0FKQ4SVR59FB48UNLKCOR6" hidden="1">#REF!</definedName>
    <definedName name="BExOBXURJP8XL4VX0LAH1M4VR4VL" localSheetId="20" hidden="1">#REF!</definedName>
    <definedName name="BExOBXURJP8XL4VX0LAH1M4VR4VL" hidden="1">#REF!</definedName>
    <definedName name="BExOBYAVUCQ0IGM0Y6A75QHP0Q1A" localSheetId="20" hidden="1">#REF!</definedName>
    <definedName name="BExOBYAVUCQ0IGM0Y6A75QHP0Q1A" hidden="1">#REF!</definedName>
    <definedName name="BExOC3UEHB1CZNINSQHZANWJYKR8" localSheetId="20" hidden="1">#REF!</definedName>
    <definedName name="BExOC3UEHB1CZNINSQHZANWJYKR8" hidden="1">#REF!</definedName>
    <definedName name="BExOCBSF3XGO9YJ23LX2H78VOUR7" localSheetId="20" hidden="1">#REF!</definedName>
    <definedName name="BExOCBSF3XGO9YJ23LX2H78VOUR7" hidden="1">#REF!</definedName>
    <definedName name="BExOCHBYK42SX24MJ239H6G9OJ8E" localSheetId="20" hidden="1">#REF!</definedName>
    <definedName name="BExOCHBYK42SX24MJ239H6G9OJ8E" hidden="1">#REF!</definedName>
    <definedName name="BExOCKXFMOW6WPFEVX1I7R7FNDSS" localSheetId="20" hidden="1">#REF!</definedName>
    <definedName name="BExOCKXFMOW6WPFEVX1I7R7FNDSS" hidden="1">#REF!</definedName>
    <definedName name="BExOCYEXOB95DH5NOB0M5NOYX398" localSheetId="20" hidden="1">#REF!</definedName>
    <definedName name="BExOCYEXOB95DH5NOB0M5NOYX398" hidden="1">#REF!</definedName>
    <definedName name="BExOD4ERMDMFD8X1016N4EXOUR0S" localSheetId="20" hidden="1">#REF!</definedName>
    <definedName name="BExOD4ERMDMFD8X1016N4EXOUR0S" hidden="1">#REF!</definedName>
    <definedName name="BExOD55RS7BQUHRQ6H3USVGKR0P7" localSheetId="20" hidden="1">#REF!</definedName>
    <definedName name="BExOD55RS7BQUHRQ6H3USVGKR0P7" hidden="1">#REF!</definedName>
    <definedName name="BExOD7UQ6G3P86ZLZV0GY79H7VLL" localSheetId="20" hidden="1">#REF!</definedName>
    <definedName name="BExOD7UQ6G3P86ZLZV0GY79H7VLL" hidden="1">#REF!</definedName>
    <definedName name="BExODEWDDEABM4ZY3XREJIBZ8IVP" localSheetId="20" hidden="1">#REF!</definedName>
    <definedName name="BExODEWDDEABM4ZY3XREJIBZ8IVP" hidden="1">#REF!</definedName>
    <definedName name="BExODNLAA1L7WQ9ZQX6A1ZOXK9VR" localSheetId="20" hidden="1">#REF!</definedName>
    <definedName name="BExODNLAA1L7WQ9ZQX6A1ZOXK9VR" hidden="1">#REF!</definedName>
    <definedName name="BExODZFEIWV26E8RFU7XQYX1J458" localSheetId="20" hidden="1">#REF!</definedName>
    <definedName name="BExODZFEIWV26E8RFU7XQYX1J458" hidden="1">#REF!</definedName>
    <definedName name="BExOEBKG55EROA2VL360A06LKASE" localSheetId="20" hidden="1">#REF!</definedName>
    <definedName name="BExOEBKG55EROA2VL360A06LKASE" hidden="1">#REF!</definedName>
    <definedName name="BExOED2F7B5GEHKVIWGRV2BCDE2Y" localSheetId="20" hidden="1">#REF!</definedName>
    <definedName name="BExOED2F7B5GEHKVIWGRV2BCDE2Y" hidden="1">#REF!</definedName>
    <definedName name="BExOERG5LWXYYEN1DY1H2FWRJS9T" localSheetId="20" hidden="1">#REF!</definedName>
    <definedName name="BExOERG5LWXYYEN1DY1H2FWRJS9T" hidden="1">#REF!</definedName>
    <definedName name="BExOEV1S6JJVO5PP4BZ20SNGZR7D" localSheetId="20" hidden="1">#REF!</definedName>
    <definedName name="BExOEV1S6JJVO5PP4BZ20SNGZR7D" hidden="1">#REF!</definedName>
    <definedName name="BExOF2U4Y5JYM0GUBGC0U2UH931Y" localSheetId="20" hidden="1">#REF!</definedName>
    <definedName name="BExOF2U4Y5JYM0GUBGC0U2UH931Y" hidden="1">#REF!</definedName>
    <definedName name="BExOF6VWODFNH2HUFTQI5L0UHNQ9" localSheetId="20" hidden="1">'[38]10.08.5 - 2008 Capital - TDBU'!#REF!</definedName>
    <definedName name="BExOF6VWODFNH2HUFTQI5L0UHNQ9" hidden="1">'[38]10.08.5 - 2008 Capital - TDBU'!#REF!</definedName>
    <definedName name="BExOFEDNCYI2TPTMQ8SJN3AW4YMF" localSheetId="15" hidden="1">#REF!</definedName>
    <definedName name="BExOFEDNCYI2TPTMQ8SJN3AW4YMF" localSheetId="16" hidden="1">#REF!</definedName>
    <definedName name="BExOFEDNCYI2TPTMQ8SJN3AW4YMF" localSheetId="20" hidden="1">#REF!</definedName>
    <definedName name="BExOFEDNCYI2TPTMQ8SJN3AW4YMF" hidden="1">#REF!</definedName>
    <definedName name="BExOFGRSPF8UTG0K1OGA8LX12P37" localSheetId="20" hidden="1">#REF!</definedName>
    <definedName name="BExOFGRSPF8UTG0K1OGA8LX12P37" hidden="1">#REF!</definedName>
    <definedName name="BExOFVLXVD6RVHSQO8KZOOACSV24" localSheetId="20" hidden="1">#REF!</definedName>
    <definedName name="BExOFVLXVD6RVHSQO8KZOOACSV24" hidden="1">#REF!</definedName>
    <definedName name="BExOG2SW3XOGP9VAPQ3THV3VWV12" localSheetId="20" hidden="1">#REF!</definedName>
    <definedName name="BExOG2SW3XOGP9VAPQ3THV3VWV12" hidden="1">#REF!</definedName>
    <definedName name="BExOG45J81K4OPA40KW5VQU54KY3" localSheetId="20" hidden="1">#REF!</definedName>
    <definedName name="BExOG45J81K4OPA40KW5VQU54KY3" hidden="1">#REF!</definedName>
    <definedName name="BExOGBXX51PO4FXDL42WFPKYU6Y9" localSheetId="20" hidden="1">#REF!</definedName>
    <definedName name="BExOGBXX51PO4FXDL42WFPKYU6Y9" hidden="1">#REF!</definedName>
    <definedName name="BExOGFE2SCL8HHT4DFAXKLUTJZOG" localSheetId="20" hidden="1">#REF!</definedName>
    <definedName name="BExOGFE2SCL8HHT4DFAXKLUTJZOG" hidden="1">#REF!</definedName>
    <definedName name="BExOGT6D0LJ3C22RDW8COECKB1J5" localSheetId="20" hidden="1">#REF!</definedName>
    <definedName name="BExOGT6D0LJ3C22RDW8COECKB1J5" hidden="1">#REF!</definedName>
    <definedName name="BExOGTMI1HT31M1RGWVRAVHAK7DE" localSheetId="20" hidden="1">#REF!</definedName>
    <definedName name="BExOGTMI1HT31M1RGWVRAVHAK7DE" hidden="1">#REF!</definedName>
    <definedName name="BExOGXO9JE5XSE9GC3I6O21UEKAO" localSheetId="20" hidden="1">#REF!</definedName>
    <definedName name="BExOGXO9JE5XSE9GC3I6O21UEKAO" hidden="1">#REF!</definedName>
    <definedName name="BExOH9ICZ13C1LAW8OTYTR9S7ZP3" localSheetId="20" hidden="1">#REF!</definedName>
    <definedName name="BExOH9ICZ13C1LAW8OTYTR9S7ZP3" hidden="1">#REF!</definedName>
    <definedName name="BExOHCI9MFNF9Y2P8D4LJGJ5B5CB" localSheetId="20" hidden="1">#REF!</definedName>
    <definedName name="BExOHCI9MFNF9Y2P8D4LJGJ5B5CB" hidden="1">#REF!</definedName>
    <definedName name="BExOHL75H3OT4WAKKPUXIVXWFVDS" localSheetId="20" hidden="1">#REF!</definedName>
    <definedName name="BExOHL75H3OT4WAKKPUXIVXWFVDS" hidden="1">#REF!</definedName>
    <definedName name="BExOHLHXXJL6363CC082M9M5VVXQ" localSheetId="20" hidden="1">#REF!</definedName>
    <definedName name="BExOHLHXXJL6363CC082M9M5VVXQ" hidden="1">#REF!</definedName>
    <definedName name="BExOHNAO5UDXSO73BK2ARHWKS90Y" localSheetId="20" hidden="1">#REF!</definedName>
    <definedName name="BExOHNAO5UDXSO73BK2ARHWKS90Y" hidden="1">#REF!</definedName>
    <definedName name="BExOHNLFZGEVXCTJ9CWMJJS7C98A" localSheetId="20" hidden="1">#REF!</definedName>
    <definedName name="BExOHNLFZGEVXCTJ9CWMJJS7C98A" hidden="1">#REF!</definedName>
    <definedName name="BExOHR1G1I9A9CI1HG94EWBLWNM2" localSheetId="20" hidden="1">#REF!</definedName>
    <definedName name="BExOHR1G1I9A9CI1HG94EWBLWNM2" hidden="1">#REF!</definedName>
    <definedName name="BExOHTQPP8LQ98L6PYUI6QW08YID" localSheetId="20" hidden="1">#REF!</definedName>
    <definedName name="BExOHTQPP8LQ98L6PYUI6QW08YID" hidden="1">#REF!</definedName>
    <definedName name="BExOHX6Q6NJI793PGX59O5EKTP4G" localSheetId="20" hidden="1">#REF!</definedName>
    <definedName name="BExOHX6Q6NJI793PGX59O5EKTP4G" hidden="1">#REF!</definedName>
    <definedName name="BExOI5VMTHH7Y8MQQ1N635CHYI0P" localSheetId="20" hidden="1">#REF!</definedName>
    <definedName name="BExOI5VMTHH7Y8MQQ1N635CHYI0P" hidden="1">#REF!</definedName>
    <definedName name="BExOIEVCP4Y6VDS23AK84MCYYHRT" localSheetId="20" hidden="1">#REF!</definedName>
    <definedName name="BExOIEVCP4Y6VDS23AK84MCYYHRT" hidden="1">#REF!</definedName>
    <definedName name="BExOIHPQIXR0NDR5WD01BZKPKEO3" localSheetId="20" hidden="1">#REF!</definedName>
    <definedName name="BExOIHPQIXR0NDR5WD01BZKPKEO3" hidden="1">#REF!</definedName>
    <definedName name="BExOIK437LIDQQW9LPBD4ZIP504X" localSheetId="20" hidden="1">#REF!</definedName>
    <definedName name="BExOIK437LIDQQW9LPBD4ZIP504X" hidden="1">#REF!</definedName>
    <definedName name="BExOIM7L0Z3LSII9P7ZTV4KJ8RMA" localSheetId="20" hidden="1">#REF!</definedName>
    <definedName name="BExOIM7L0Z3LSII9P7ZTV4KJ8RMA" hidden="1">#REF!</definedName>
    <definedName name="BExOIRR9MU1G575D1ZA3HFPLOPHO" localSheetId="20" hidden="1">#REF!</definedName>
    <definedName name="BExOIRR9MU1G575D1ZA3HFPLOPHO" hidden="1">#REF!</definedName>
    <definedName name="BExOIWJVMJ6MG6JC4SPD1L00OHU1" localSheetId="20" hidden="1">#REF!</definedName>
    <definedName name="BExOIWJVMJ6MG6JC4SPD1L00OHU1" hidden="1">#REF!</definedName>
    <definedName name="BExOIYCN8Z4JK3OOG86KYUCV0ME8" localSheetId="20" hidden="1">#REF!</definedName>
    <definedName name="BExOIYCN8Z4JK3OOG86KYUCV0ME8" hidden="1">#REF!</definedName>
    <definedName name="BExOJ1HV93EOH7BOVAII53VPS2G2" localSheetId="20" hidden="1">#REF!</definedName>
    <definedName name="BExOJ1HV93EOH7BOVAII53VPS2G2" hidden="1">#REF!</definedName>
    <definedName name="BExOJ3AKZ9BCBZT3KD8WMSLK6MN2" localSheetId="20" hidden="1">#REF!</definedName>
    <definedName name="BExOJ3AKZ9BCBZT3KD8WMSLK6MN2" hidden="1">#REF!</definedName>
    <definedName name="BExOJ3FWAWMR29DR11VER2OQPUJT" localSheetId="20" hidden="1">#REF!</definedName>
    <definedName name="BExOJ3FWAWMR29DR11VER2OQPUJT" hidden="1">#REF!</definedName>
    <definedName name="BExOJ7XQK71I4YZDD29AKOOWZ47E" localSheetId="20" hidden="1">#REF!</definedName>
    <definedName name="BExOJ7XQK71I4YZDD29AKOOWZ47E" hidden="1">#REF!</definedName>
    <definedName name="BExOJM0W6XGSW5MXPTTX0GNF6SFT" localSheetId="20" hidden="1">#REF!</definedName>
    <definedName name="BExOJM0W6XGSW5MXPTTX0GNF6SFT" hidden="1">#REF!</definedName>
    <definedName name="BExOJXEUJJ9SYRJXKYYV2NCCDT2R" localSheetId="20" hidden="1">#REF!</definedName>
    <definedName name="BExOJXEUJJ9SYRJXKYYV2NCCDT2R" hidden="1">#REF!</definedName>
    <definedName name="BExOK0EQYM9JUMAGWOUN7QDH7VMZ" localSheetId="20" hidden="1">#REF!</definedName>
    <definedName name="BExOK0EQYM9JUMAGWOUN7QDH7VMZ" hidden="1">#REF!</definedName>
    <definedName name="BExOK4WM9O7QNG6O57FOASI5QSN1" localSheetId="20" hidden="1">#REF!</definedName>
    <definedName name="BExOK4WM9O7QNG6O57FOASI5QSN1" hidden="1">#REF!</definedName>
    <definedName name="BExOK6EKT2189GVNUAT82OZYA3XB" localSheetId="20" hidden="1">#REF!</definedName>
    <definedName name="BExOK6EKT2189GVNUAT82OZYA3XB" hidden="1">#REF!</definedName>
    <definedName name="BExOKFUDO7FXT8ZXISPIKAJYI0CO" localSheetId="20" hidden="1">#REF!</definedName>
    <definedName name="BExOKFUDO7FXT8ZXISPIKAJYI0CO" hidden="1">#REF!</definedName>
    <definedName name="BExOKI3C3DWTNF6PRKG2XY34A3JA" localSheetId="20" hidden="1">#REF!</definedName>
    <definedName name="BExOKI3C3DWTNF6PRKG2XY34A3JA" hidden="1">#REF!</definedName>
    <definedName name="BExOKKHOPWUVRJGQJ5ONR2U40JX8" localSheetId="20" hidden="1">#REF!</definedName>
    <definedName name="BExOKKHOPWUVRJGQJ5ONR2U40JX8" hidden="1">#REF!</definedName>
    <definedName name="BExOKTXMJP351VXKH8VT6SXUNIMF" localSheetId="20" hidden="1">#REF!</definedName>
    <definedName name="BExOKTXMJP351VXKH8VT6SXUNIMF" hidden="1">#REF!</definedName>
    <definedName name="BExOKU8GMLOCNVORDE329819XN67" localSheetId="20" hidden="1">#REF!</definedName>
    <definedName name="BExOKU8GMLOCNVORDE329819XN67" hidden="1">#REF!</definedName>
    <definedName name="BExOL0Z3Z7IAMHPB91EO2MF49U57" localSheetId="20" hidden="1">#REF!</definedName>
    <definedName name="BExOL0Z3Z7IAMHPB91EO2MF49U57" hidden="1">#REF!</definedName>
    <definedName name="BExOL7KH12VAR0LG741SIOJTLWFD" localSheetId="20" hidden="1">#REF!</definedName>
    <definedName name="BExOL7KH12VAR0LG741SIOJTLWFD" hidden="1">#REF!</definedName>
    <definedName name="BExOLICXFHJLILCJVFMJE5MGGWKR" localSheetId="20" hidden="1">#REF!</definedName>
    <definedName name="BExOLICXFHJLILCJVFMJE5MGGWKR" hidden="1">#REF!</definedName>
    <definedName name="BExOLOI0WJS3QC12I3ISL0D9AWOF" localSheetId="20" hidden="1">#REF!</definedName>
    <definedName name="BExOLOI0WJS3QC12I3ISL0D9AWOF" hidden="1">#REF!</definedName>
    <definedName name="BExOLUCCA6OM4TBUAJHS6O1UU6TO" localSheetId="20" hidden="1">#REF!</definedName>
    <definedName name="BExOLUCCA6OM4TBUAJHS6O1UU6TO" hidden="1">#REF!</definedName>
    <definedName name="BExOLYZNG5RBD0BTS1OEZJNU92Q5" localSheetId="20" hidden="1">#REF!</definedName>
    <definedName name="BExOLYZNG5RBD0BTS1OEZJNU92Q5" hidden="1">#REF!</definedName>
    <definedName name="BExOM3HIJ3UZPOKJI68KPBJAHPDC" localSheetId="20" hidden="1">#REF!</definedName>
    <definedName name="BExOM3HIJ3UZPOKJI68KPBJAHPDC" hidden="1">#REF!</definedName>
    <definedName name="BExOM8VPAS5WZAM0QNYW8ZY56VAP" localSheetId="20" hidden="1">#REF!</definedName>
    <definedName name="BExOM8VPAS5WZAM0QNYW8ZY56VAP" hidden="1">#REF!</definedName>
    <definedName name="BExOMKPURE33YQ3K1JG9NVQD4W49" localSheetId="20" hidden="1">#REF!</definedName>
    <definedName name="BExOMKPURE33YQ3K1JG9NVQD4W49" hidden="1">#REF!</definedName>
    <definedName name="BExOMP7NGCLUNFK50QD2LPKRG078" localSheetId="20" hidden="1">#REF!</definedName>
    <definedName name="BExOMP7NGCLUNFK50QD2LPKRG078" hidden="1">#REF!</definedName>
    <definedName name="BExOMU0A6XMY48SZRYL4WQZD13BI" localSheetId="20" hidden="1">#REF!</definedName>
    <definedName name="BExOMU0A6XMY48SZRYL4WQZD13BI" hidden="1">#REF!</definedName>
    <definedName name="BExOMVT0HSNC59DJP4CLISASGHKL" localSheetId="20" hidden="1">#REF!</definedName>
    <definedName name="BExOMVT0HSNC59DJP4CLISASGHKL" hidden="1">#REF!</definedName>
    <definedName name="BExON0AX35F2SI0UCVMGWGVIUNI3" localSheetId="20" hidden="1">#REF!</definedName>
    <definedName name="BExON0AX35F2SI0UCVMGWGVIUNI3" hidden="1">#REF!</definedName>
    <definedName name="BExON41U4296DV3DPG6I5EF3OEYF" localSheetId="20" hidden="1">#REF!</definedName>
    <definedName name="BExON41U4296DV3DPG6I5EF3OEYF" hidden="1">#REF!</definedName>
    <definedName name="BExONB3A7CO4YD8RB41PHC93BQ9M" localSheetId="20" hidden="1">#REF!</definedName>
    <definedName name="BExONB3A7CO4YD8RB41PHC93BQ9M" hidden="1">#REF!</definedName>
    <definedName name="BExONDSE2SJ2Q00MS22HA9D59305" localSheetId="20" hidden="1">#REF!</definedName>
    <definedName name="BExONDSE2SJ2Q00MS22HA9D59305" hidden="1">#REF!</definedName>
    <definedName name="BExONFQH6UUXF8V0GI4BRIST9RFO" localSheetId="20" hidden="1">#REF!</definedName>
    <definedName name="BExONFQH6UUXF8V0GI4BRIST9RFO" hidden="1">#REF!</definedName>
    <definedName name="BExONIL31DZWU7IFVN3VV0XTXJA1" localSheetId="20" hidden="1">#REF!</definedName>
    <definedName name="BExONIL31DZWU7IFVN3VV0XTXJA1" hidden="1">#REF!</definedName>
    <definedName name="BExONJ1BU17R0F5A2UP1UGJBOGKS" localSheetId="20" hidden="1">#REF!</definedName>
    <definedName name="BExONJ1BU17R0F5A2UP1UGJBOGKS" hidden="1">#REF!</definedName>
    <definedName name="BExONNZ9VMHVX3J6NLNJY7KZA61O" localSheetId="20" hidden="1">#REF!</definedName>
    <definedName name="BExONNZ9VMHVX3J6NLNJY7KZA61O" hidden="1">#REF!</definedName>
    <definedName name="BExONRQ1BAA4F3TXP2MYQ4YCZ09S" localSheetId="20" hidden="1">#REF!</definedName>
    <definedName name="BExONRQ1BAA4F3TXP2MYQ4YCZ09S" hidden="1">#REF!</definedName>
    <definedName name="BExOO0EYS79NAIW0WEELRXCYS9GK" localSheetId="20" hidden="1">'[38]10.08.3 - 2008 Expense - TDBU'!#REF!</definedName>
    <definedName name="BExOO0EYS79NAIW0WEELRXCYS9GK" hidden="1">'[38]10.08.3 - 2008 Expense - TDBU'!#REF!</definedName>
    <definedName name="BExOO1WWIZSGB0YTGKESB45TSVMZ" localSheetId="15" hidden="1">#REF!</definedName>
    <definedName name="BExOO1WWIZSGB0YTGKESB45TSVMZ" localSheetId="16" hidden="1">#REF!</definedName>
    <definedName name="BExOO1WWIZSGB0YTGKESB45TSVMZ" localSheetId="20" hidden="1">#REF!</definedName>
    <definedName name="BExOO1WWIZSGB0YTGKESB45TSVMZ" hidden="1">#REF!</definedName>
    <definedName name="BExOO4B8FPAFYPHCTYTX37P1TQM5" localSheetId="20" hidden="1">#REF!</definedName>
    <definedName name="BExOO4B8FPAFYPHCTYTX37P1TQM5" hidden="1">#REF!</definedName>
    <definedName name="BExOO5D2QZREOU0YQCGPBXBS4YQ1" localSheetId="20" hidden="1">#REF!</definedName>
    <definedName name="BExOO5D2QZREOU0YQCGPBXBS4YQ1" hidden="1">#REF!</definedName>
    <definedName name="BExOO6ERU9G120RGLKYWC09LZ5RE" localSheetId="20" hidden="1">#REF!</definedName>
    <definedName name="BExOO6ERU9G120RGLKYWC09LZ5RE" hidden="1">#REF!</definedName>
    <definedName name="BExOO824YWJ12GSXLC07K7266C14" localSheetId="20" hidden="1">#REF!</definedName>
    <definedName name="BExOO824YWJ12GSXLC07K7266C14" hidden="1">#REF!</definedName>
    <definedName name="BExOOIULUDOJRMYABWV5CCL906X6" localSheetId="20" hidden="1">#REF!</definedName>
    <definedName name="BExOOIULUDOJRMYABWV5CCL906X6" hidden="1">#REF!</definedName>
    <definedName name="BExOOLE93DKM88V3PQ8ELSMZCHUA" localSheetId="20" hidden="1">#REF!</definedName>
    <definedName name="BExOOLE93DKM88V3PQ8ELSMZCHUA" hidden="1">#REF!</definedName>
    <definedName name="BExOOTN0KTXJCL7E476XBN1CJ553" localSheetId="20" hidden="1">#REF!</definedName>
    <definedName name="BExOOTN0KTXJCL7E476XBN1CJ553" hidden="1">#REF!</definedName>
    <definedName name="BExOP9DEBV5W5P4Q25J3XCJBP5S9" localSheetId="20" hidden="1">#REF!</definedName>
    <definedName name="BExOP9DEBV5W5P4Q25J3XCJBP5S9" hidden="1">#REF!</definedName>
    <definedName name="BExOPFNYRBL0BFM23LZBJTADNOE4" localSheetId="20" hidden="1">#REF!</definedName>
    <definedName name="BExOPFNYRBL0BFM23LZBJTADNOE4" hidden="1">#REF!</definedName>
    <definedName name="BExOPINVFSIZMCVT9YGT2AODVCX3" localSheetId="20" hidden="1">#REF!</definedName>
    <definedName name="BExOPINVFSIZMCVT9YGT2AODVCX3" hidden="1">#REF!</definedName>
    <definedName name="BExOQ1JN4SAC44RTMZIGHSW023WA" localSheetId="20" hidden="1">#REF!</definedName>
    <definedName name="BExOQ1JN4SAC44RTMZIGHSW023WA" hidden="1">#REF!</definedName>
    <definedName name="BExOQ256YMF115DJL3KBPNKABJ90" localSheetId="20" hidden="1">#REF!</definedName>
    <definedName name="BExOQ256YMF115DJL3KBPNKABJ90" hidden="1">#REF!</definedName>
    <definedName name="BExQ19DEUOLC11IW32E2AMVZLFF1" localSheetId="20" hidden="1">#REF!</definedName>
    <definedName name="BExQ19DEUOLC11IW32E2AMVZLFF1" hidden="1">#REF!</definedName>
    <definedName name="BExQ1FD6KISGYU1JWEQ4G243ZPVD" localSheetId="20" hidden="1">#REF!</definedName>
    <definedName name="BExQ1FD6KISGYU1JWEQ4G243ZPVD" hidden="1">#REF!</definedName>
    <definedName name="BExQ1OYH5SW4PG5JI8ED4NJN4422" localSheetId="20" hidden="1">#REF!</definedName>
    <definedName name="BExQ1OYH5SW4PG5JI8ED4NJN4422" hidden="1">#REF!</definedName>
    <definedName name="BExQ29C73XR33S3668YYSYZAIHTG" localSheetId="20" hidden="1">#REF!</definedName>
    <definedName name="BExQ29C73XR33S3668YYSYZAIHTG" hidden="1">#REF!</definedName>
    <definedName name="BExQ2D8FO6F5AOMJ5FJODJ81T8C3" localSheetId="20" hidden="1">#REF!</definedName>
    <definedName name="BExQ2D8FO6F5AOMJ5FJODJ81T8C3" hidden="1">#REF!</definedName>
    <definedName name="BExQ2FS228IUDUP2023RA1D4AO4C" localSheetId="20" hidden="1">#REF!</definedName>
    <definedName name="BExQ2FS228IUDUP2023RA1D4AO4C" hidden="1">#REF!</definedName>
    <definedName name="BExQ2L0XYWLY9VPZWXYYFRIRQRJ1" localSheetId="20" hidden="1">#REF!</definedName>
    <definedName name="BExQ2L0XYWLY9VPZWXYYFRIRQRJ1" hidden="1">#REF!</definedName>
    <definedName name="BExQ2M841F5Z1BQYR8DG5FKK0LIU" localSheetId="20" hidden="1">#REF!</definedName>
    <definedName name="BExQ2M841F5Z1BQYR8DG5FKK0LIU" hidden="1">#REF!</definedName>
    <definedName name="BExQ2V7SO1UTLMJ1NFVRKDOOQAP2" localSheetId="20" hidden="1">#REF!</definedName>
    <definedName name="BExQ2V7SO1UTLMJ1NFVRKDOOQAP2" hidden="1">#REF!</definedName>
    <definedName name="BExQ300G8I8TK45A0MVHV15422EU" localSheetId="20" hidden="1">#REF!</definedName>
    <definedName name="BExQ300G8I8TK45A0MVHV15422EU" hidden="1">#REF!</definedName>
    <definedName name="BExQ39R28MXSG2SEV956F0KZ20AN" localSheetId="20" hidden="1">#REF!</definedName>
    <definedName name="BExQ39R28MXSG2SEV956F0KZ20AN" hidden="1">#REF!</definedName>
    <definedName name="BExQ3D1P3M5Z3HLMEZ17E0BLEE4U" localSheetId="20" hidden="1">#REF!</definedName>
    <definedName name="BExQ3D1P3M5Z3HLMEZ17E0BLEE4U" hidden="1">#REF!</definedName>
    <definedName name="BExQ3D1PQ0OOWP5T1D37RLPA9BFX" localSheetId="20" hidden="1">#REF!</definedName>
    <definedName name="BExQ3D1PQ0OOWP5T1D37RLPA9BFX" hidden="1">#REF!</definedName>
    <definedName name="BExQ3LW3GD5LUIS2HB4C1TEJJP2P" localSheetId="20" hidden="1">#REF!</definedName>
    <definedName name="BExQ3LW3GD5LUIS2HB4C1TEJJP2P" hidden="1">#REF!</definedName>
    <definedName name="BExQ3O4W7QF8BOXTUT4IOGF6YKUD" localSheetId="20" hidden="1">#REF!</definedName>
    <definedName name="BExQ3O4W7QF8BOXTUT4IOGF6YKUD" hidden="1">#REF!</definedName>
    <definedName name="BExQ3PXOWSN8561ZR8IEY8ZASI3B" localSheetId="20" hidden="1">#REF!</definedName>
    <definedName name="BExQ3PXOWSN8561ZR8IEY8ZASI3B" hidden="1">#REF!</definedName>
    <definedName name="BExQ3TZF04IPY0B0UG9CQQ5736UA" localSheetId="20" hidden="1">#REF!</definedName>
    <definedName name="BExQ3TZF04IPY0B0UG9CQQ5736UA" hidden="1">#REF!</definedName>
    <definedName name="BExQ42IU9MNDYLODP41DL6YTZMAR" localSheetId="20" hidden="1">#REF!</definedName>
    <definedName name="BExQ42IU9MNDYLODP41DL6YTZMAR" hidden="1">#REF!</definedName>
    <definedName name="BExQ452HF7N1HYPXJXQ8WD6SOWUV" localSheetId="20" hidden="1">#REF!</definedName>
    <definedName name="BExQ452HF7N1HYPXJXQ8WD6SOWUV" hidden="1">#REF!</definedName>
    <definedName name="BExQ499KBJ5W7A1G293A0K14EVQB" localSheetId="20" hidden="1">#REF!</definedName>
    <definedName name="BExQ499KBJ5W7A1G293A0K14EVQB" hidden="1">#REF!</definedName>
    <definedName name="BExQ4BTBSHPHVEDRCXC2ROW8PLFC" localSheetId="20" hidden="1">#REF!</definedName>
    <definedName name="BExQ4BTBSHPHVEDRCXC2ROW8PLFC" hidden="1">#REF!</definedName>
    <definedName name="BExQ4DGKF54SRKQUTUT4B1CZSS62" localSheetId="20" hidden="1">#REF!</definedName>
    <definedName name="BExQ4DGKF54SRKQUTUT4B1CZSS62" hidden="1">#REF!</definedName>
    <definedName name="BExQ4FV23PRA8ZOTVPNAWYTCYRR2" localSheetId="20" hidden="1">#REF!</definedName>
    <definedName name="BExQ4FV23PRA8ZOTVPNAWYTCYRR2" hidden="1">#REF!</definedName>
    <definedName name="BExQ4KSYQQLLYN7NYUBF7WND3ACX" localSheetId="20" hidden="1">#REF!</definedName>
    <definedName name="BExQ4KSYQQLLYN7NYUBF7WND3ACX" hidden="1">#REF!</definedName>
    <definedName name="BExQ4T74LQ5PYTV1MUQUW75A4BDY" localSheetId="20" hidden="1">#REF!</definedName>
    <definedName name="BExQ4T74LQ5PYTV1MUQUW75A4BDY" hidden="1">#REF!</definedName>
    <definedName name="BExQ4XJHD7EJCNH7S1MJDZJ2MNWG" localSheetId="20" hidden="1">#REF!</definedName>
    <definedName name="BExQ4XJHD7EJCNH7S1MJDZJ2MNWG" hidden="1">#REF!</definedName>
    <definedName name="BExQ5039ZCEWBUJHU682G4S89J03" localSheetId="20" hidden="1">#REF!</definedName>
    <definedName name="BExQ5039ZCEWBUJHU682G4S89J03" hidden="1">#REF!</definedName>
    <definedName name="BExQ56Z9W6YHZHRXOFFI8EFA7CDI" localSheetId="20" hidden="1">#REF!</definedName>
    <definedName name="BExQ56Z9W6YHZHRXOFFI8EFA7CDI" hidden="1">#REF!</definedName>
    <definedName name="BExQ5DQ4DQOLJ6KAS500VUBF9OTL" localSheetId="20" hidden="1">#REF!</definedName>
    <definedName name="BExQ5DQ4DQOLJ6KAS500VUBF9OTL" hidden="1">#REF!</definedName>
    <definedName name="BExQ5DVF3U6CH0PO809ZFLIE9A0F" localSheetId="20" hidden="1">'[38]10.08.2 - 2008 Expense'!#REF!</definedName>
    <definedName name="BExQ5DVF3U6CH0PO809ZFLIE9A0F" hidden="1">'[38]10.08.2 - 2008 Expense'!#REF!</definedName>
    <definedName name="BExQ5IO89JL1G3PO02VX1LHZHLZ1" localSheetId="15" hidden="1">#REF!</definedName>
    <definedName name="BExQ5IO89JL1G3PO02VX1LHZHLZ1" localSheetId="16" hidden="1">#REF!</definedName>
    <definedName name="BExQ5IO89JL1G3PO02VX1LHZHLZ1" localSheetId="20" hidden="1">#REF!</definedName>
    <definedName name="BExQ5IO89JL1G3PO02VX1LHZHLZ1" hidden="1">#REF!</definedName>
    <definedName name="BExQ5KX3Z668H1KUCKZ9J24HUQ1F" localSheetId="20" hidden="1">#REF!</definedName>
    <definedName name="BExQ5KX3Z668H1KUCKZ9J24HUQ1F" hidden="1">#REF!</definedName>
    <definedName name="BExQ5SPMSOCJYLAY20NB5A6O32RE" localSheetId="20" hidden="1">#REF!</definedName>
    <definedName name="BExQ5SPMSOCJYLAY20NB5A6O32RE" hidden="1">#REF!</definedName>
    <definedName name="BExQ5UICMGTMK790KTLK49MAGXRC" localSheetId="20" hidden="1">#REF!</definedName>
    <definedName name="BExQ5UICMGTMK790KTLK49MAGXRC" hidden="1">#REF!</definedName>
    <definedName name="BExQ5UID6Y8WYNRD669UN70IZT91" localSheetId="20" hidden="1">#REF!</definedName>
    <definedName name="BExQ5UID6Y8WYNRD669UN70IZT91" hidden="1">#REF!</definedName>
    <definedName name="BExQ5VEOVW4SMWTX520KZ3TVUW0I" localSheetId="20" hidden="1">#REF!</definedName>
    <definedName name="BExQ5VEOVW4SMWTX520KZ3TVUW0I" hidden="1">#REF!</definedName>
    <definedName name="BExQ5VEQEIJO7YY80OJTA3XRQYJ9" localSheetId="20" hidden="1">#REF!</definedName>
    <definedName name="BExQ5VEQEIJO7YY80OJTA3XRQYJ9" hidden="1">#REF!</definedName>
    <definedName name="BExQ5Y3SSM2ICJCUN3XZ10VMPD4D" localSheetId="20" hidden="1">#REF!</definedName>
    <definedName name="BExQ5Y3SSM2ICJCUN3XZ10VMPD4D" hidden="1">#REF!</definedName>
    <definedName name="BExQ5YUUK9FD0QGTY4WD0W90O7OL" localSheetId="20" hidden="1">#REF!</definedName>
    <definedName name="BExQ5YUUK9FD0QGTY4WD0W90O7OL" hidden="1">#REF!</definedName>
    <definedName name="BExQ631QZYS8VO7HE6HNP34CEOR2" localSheetId="20" hidden="1">#REF!</definedName>
    <definedName name="BExQ631QZYS8VO7HE6HNP34CEOR2" hidden="1">#REF!</definedName>
    <definedName name="BExQ63793YQ9BH7JLCNRIATIGTRG" localSheetId="20" hidden="1">#REF!</definedName>
    <definedName name="BExQ63793YQ9BH7JLCNRIATIGTRG" hidden="1">#REF!</definedName>
    <definedName name="BExQ6CN1EF2UPZ57ZYMGK8TUJQSS" localSheetId="20" hidden="1">#REF!</definedName>
    <definedName name="BExQ6CN1EF2UPZ57ZYMGK8TUJQSS" hidden="1">#REF!</definedName>
    <definedName name="BExQ6M2YXJ8AMRJF3QGHC40ADAHZ" localSheetId="20" hidden="1">#REF!</definedName>
    <definedName name="BExQ6M2YXJ8AMRJF3QGHC40ADAHZ" hidden="1">#REF!</definedName>
    <definedName name="BExQ6M8APM0TVP9WQAFVTB8N0NXA" localSheetId="20" hidden="1">#REF!</definedName>
    <definedName name="BExQ6M8APM0TVP9WQAFVTB8N0NXA" hidden="1">#REF!</definedName>
    <definedName name="BExQ6M8B0X44N9TV56ATUVHGDI00" localSheetId="20" hidden="1">#REF!</definedName>
    <definedName name="BExQ6M8B0X44N9TV56ATUVHGDI00" hidden="1">#REF!</definedName>
    <definedName name="BExQ6POH065GV0I74XXVD0VUPBJW" localSheetId="20" hidden="1">#REF!</definedName>
    <definedName name="BExQ6POH065GV0I74XXVD0VUPBJW" hidden="1">#REF!</definedName>
    <definedName name="BExQ6R0YG1HMF8DVPFMIHIOUSMVE" localSheetId="20" hidden="1">#REF!</definedName>
    <definedName name="BExQ6R0YG1HMF8DVPFMIHIOUSMVE" hidden="1">#REF!</definedName>
    <definedName name="BExQ6WV9KPSMXPPLGZ3KK4WNYTHU" localSheetId="20" hidden="1">#REF!</definedName>
    <definedName name="BExQ6WV9KPSMXPPLGZ3KK4WNYTHU" hidden="1">#REF!</definedName>
    <definedName name="BExQ6Z48UU3475XVS5MSB61Y2LTN" localSheetId="20" hidden="1">'[38]10.08.5 - 2008 Capital - TDBU'!#REF!</definedName>
    <definedName name="BExQ6Z48UU3475XVS5MSB61Y2LTN" hidden="1">'[38]10.08.5 - 2008 Capital - TDBU'!#REF!</definedName>
    <definedName name="BExQ783XTMM2A9I3UKCFWJH1PP2N" localSheetId="15" hidden="1">#REF!</definedName>
    <definedName name="BExQ783XTMM2A9I3UKCFWJH1PP2N" localSheetId="16" hidden="1">#REF!</definedName>
    <definedName name="BExQ783XTMM2A9I3UKCFWJH1PP2N" localSheetId="20" hidden="1">#REF!</definedName>
    <definedName name="BExQ783XTMM2A9I3UKCFWJH1PP2N" hidden="1">#REF!</definedName>
    <definedName name="BExQ79LX01ZPQB8EGD1ZHR2VK2H3" localSheetId="20" hidden="1">#REF!</definedName>
    <definedName name="BExQ79LX01ZPQB8EGD1ZHR2VK2H3" hidden="1">#REF!</definedName>
    <definedName name="BExQ7AT1ON4L7W584EXCOXCQ8AF8" localSheetId="20" hidden="1">#REF!</definedName>
    <definedName name="BExQ7AT1ON4L7W584EXCOXCQ8AF8" hidden="1">#REF!</definedName>
    <definedName name="BExQ7B3V9MGDK2OIJ61XXFBFLJFZ" localSheetId="20" hidden="1">#REF!</definedName>
    <definedName name="BExQ7B3V9MGDK2OIJ61XXFBFLJFZ" hidden="1">#REF!</definedName>
    <definedName name="BExQ7CB046NVPF9ZXDGA7OXOLSLX" localSheetId="20" hidden="1">#REF!</definedName>
    <definedName name="BExQ7CB046NVPF9ZXDGA7OXOLSLX" hidden="1">#REF!</definedName>
    <definedName name="BExQ7IWDCGGOO1HTJ97YGO1CK3R9" localSheetId="20" hidden="1">#REF!</definedName>
    <definedName name="BExQ7IWDCGGOO1HTJ97YGO1CK3R9" hidden="1">#REF!</definedName>
    <definedName name="BExQ7JNFIEGS2HKNBALH3Q2N5G7Z" localSheetId="20" hidden="1">#REF!</definedName>
    <definedName name="BExQ7JNFIEGS2HKNBALH3Q2N5G7Z" hidden="1">#REF!</definedName>
    <definedName name="BExQ7MY3U2Z1IZ71U5LJUD00VVB4" localSheetId="20" hidden="1">#REF!</definedName>
    <definedName name="BExQ7MY3U2Z1IZ71U5LJUD00VVB4" hidden="1">#REF!</definedName>
    <definedName name="BExQ7NJJ5I2EFVEHCKSRF7BAOJX8" localSheetId="20" hidden="1">#REF!</definedName>
    <definedName name="BExQ7NJJ5I2EFVEHCKSRF7BAOJX8" hidden="1">#REF!</definedName>
    <definedName name="BExQ7OLEEXKKDJBY2RBEALGCVGC3" localSheetId="20" hidden="1">#REF!</definedName>
    <definedName name="BExQ7OLEEXKKDJBY2RBEALGCVGC3" hidden="1">#REF!</definedName>
    <definedName name="BExQ7XL2Q1GVUFL1F9KK0K0EXMWG" localSheetId="20" hidden="1">#REF!</definedName>
    <definedName name="BExQ7XL2Q1GVUFL1F9KK0K0EXMWG" hidden="1">#REF!</definedName>
    <definedName name="BExQ804OMLOOLGJAZ76PFIUFBWIX" localSheetId="20" hidden="1">#REF!</definedName>
    <definedName name="BExQ804OMLOOLGJAZ76PFIUFBWIX" hidden="1">#REF!</definedName>
    <definedName name="BExQ834L4O72YNJYUPLVXEJ7K3BU" localSheetId="20" hidden="1">#REF!</definedName>
    <definedName name="BExQ834L4O72YNJYUPLVXEJ7K3BU" hidden="1">#REF!</definedName>
    <definedName name="BExQ8469L3ZRZ3KYZPYMSJIDL7Y5" localSheetId="20" hidden="1">#REF!</definedName>
    <definedName name="BExQ8469L3ZRZ3KYZPYMSJIDL7Y5" hidden="1">#REF!</definedName>
    <definedName name="BExQ84MJB94HL3BWRN50M4NCB6Z0" localSheetId="20" hidden="1">#REF!</definedName>
    <definedName name="BExQ84MJB94HL3BWRN50M4NCB6Z0" hidden="1">#REF!</definedName>
    <definedName name="BExQ8583ZE00NW7T9OF11OT9IA14" localSheetId="20" hidden="1">#REF!</definedName>
    <definedName name="BExQ8583ZE00NW7T9OF11OT9IA14" hidden="1">#REF!</definedName>
    <definedName name="BExQ8A0RPE3IMIFIZLUE7KD2N21W" localSheetId="20" hidden="1">#REF!</definedName>
    <definedName name="BExQ8A0RPE3IMIFIZLUE7KD2N21W" hidden="1">#REF!</definedName>
    <definedName name="BExQ8ABK6H1ADV2R2OYT8NFFYG2N" localSheetId="20" hidden="1">#REF!</definedName>
    <definedName name="BExQ8ABK6H1ADV2R2OYT8NFFYG2N" hidden="1">#REF!</definedName>
    <definedName name="BExQ8DM90XJ6GCJIK9LC5O82I2TJ" localSheetId="20" hidden="1">#REF!</definedName>
    <definedName name="BExQ8DM90XJ6GCJIK9LC5O82I2TJ" hidden="1">#REF!</definedName>
    <definedName name="BExQ8DX1FNZIJVRD63724J6NDCOG" localSheetId="20" hidden="1">#REF!</definedName>
    <definedName name="BExQ8DX1FNZIJVRD63724J6NDCOG" hidden="1">#REF!</definedName>
    <definedName name="BExQ8G0K46ZORA0QVQTDI7Z8LXGF" localSheetId="20" hidden="1">#REF!</definedName>
    <definedName name="BExQ8G0K46ZORA0QVQTDI7Z8LXGF" hidden="1">#REF!</definedName>
    <definedName name="BExQ8O3WEU8HNTTGKTW5T0QSKCLP" localSheetId="20" hidden="1">#REF!</definedName>
    <definedName name="BExQ8O3WEU8HNTTGKTW5T0QSKCLP" hidden="1">#REF!</definedName>
    <definedName name="BExQ8PWMBELWDMVC65RE0VV0PKJ2" localSheetId="20" hidden="1">#REF!</definedName>
    <definedName name="BExQ8PWMBELWDMVC65RE0VV0PKJ2" hidden="1">#REF!</definedName>
    <definedName name="BExQ8XEDA0NG4CETTWK2XL8XZWLT" localSheetId="20" hidden="1">#REF!</definedName>
    <definedName name="BExQ8XEDA0NG4CETTWK2XL8XZWLT" hidden="1">#REF!</definedName>
    <definedName name="BExQ8ZCEDBOBJA3D9LDP5TU2WYGR" localSheetId="20" hidden="1">#REF!</definedName>
    <definedName name="BExQ8ZCEDBOBJA3D9LDP5TU2WYGR" hidden="1">#REF!</definedName>
    <definedName name="BExQ94LAW6MAQBWY25WTBFV5PPZJ" localSheetId="20" hidden="1">#REF!</definedName>
    <definedName name="BExQ94LAW6MAQBWY25WTBFV5PPZJ" hidden="1">#REF!</definedName>
    <definedName name="BExQ97QIPOSSRK978N8P234Y1XA4" localSheetId="20" hidden="1">#REF!</definedName>
    <definedName name="BExQ97QIPOSSRK978N8P234Y1XA4" hidden="1">#REF!</definedName>
    <definedName name="BExQ9E6FBAXTHGF3RXANFIA77GXP" localSheetId="20" hidden="1">#REF!</definedName>
    <definedName name="BExQ9E6FBAXTHGF3RXANFIA77GXP" hidden="1">#REF!</definedName>
    <definedName name="BExQ9F2YH4UUCCMQITJ475B3S3NP" localSheetId="20" hidden="1">#REF!</definedName>
    <definedName name="BExQ9F2YH4UUCCMQITJ475B3S3NP" hidden="1">#REF!</definedName>
    <definedName name="BExQ9KX9734KIAK7IMRLHCPYDHO2" localSheetId="20" hidden="1">#REF!</definedName>
    <definedName name="BExQ9KX9734KIAK7IMRLHCPYDHO2" hidden="1">#REF!</definedName>
    <definedName name="BExQ9L81FF4I7816VTPFBDWVU4CW" localSheetId="20" hidden="1">#REF!</definedName>
    <definedName name="BExQ9L81FF4I7816VTPFBDWVU4CW" hidden="1">#REF!</definedName>
    <definedName name="BExQ9M4E2ACZOWWWP1JJIQO8AHUM" localSheetId="20" hidden="1">#REF!</definedName>
    <definedName name="BExQ9M4E2ACZOWWWP1JJIQO8AHUM" hidden="1">#REF!</definedName>
    <definedName name="BExQ9R7UV4VT86NLRFAY9CP2M3CL" localSheetId="20" hidden="1">#REF!</definedName>
    <definedName name="BExQ9R7UV4VT86NLRFAY9CP2M3CL" hidden="1">#REF!</definedName>
    <definedName name="BExQ9UTANMJCK7LJ4OQMD6F2Q01L" localSheetId="20" hidden="1">#REF!</definedName>
    <definedName name="BExQ9UTANMJCK7LJ4OQMD6F2Q01L" hidden="1">#REF!</definedName>
    <definedName name="BExQ9ZLYHWABXAA9NJDW8ZS0UQ9P" localSheetId="20" hidden="1">[39]Table!#REF!</definedName>
    <definedName name="BExQ9ZLYHWABXAA9NJDW8ZS0UQ9P" hidden="1">[39]Table!#REF!</definedName>
    <definedName name="BExQA324HSCK40ENJUT9CS9EC71B" localSheetId="15" hidden="1">#REF!</definedName>
    <definedName name="BExQA324HSCK40ENJUT9CS9EC71B" localSheetId="16" hidden="1">#REF!</definedName>
    <definedName name="BExQA324HSCK40ENJUT9CS9EC71B" localSheetId="20" hidden="1">#REF!</definedName>
    <definedName name="BExQA324HSCK40ENJUT9CS9EC71B" hidden="1">#REF!</definedName>
    <definedName name="BExQA55GY0STSNBWQCWN8E31ZXCS" localSheetId="20" hidden="1">#REF!</definedName>
    <definedName name="BExQA55GY0STSNBWQCWN8E31ZXCS" hidden="1">#REF!</definedName>
    <definedName name="BExQA6Y7SIFO3MVYCQACIZ6YV0WS" localSheetId="20" hidden="1">#REF!</definedName>
    <definedName name="BExQA6Y7SIFO3MVYCQACIZ6YV0WS" hidden="1">#REF!</definedName>
    <definedName name="BExQA9HZIN9XEMHEEVHT99UU9Z82" localSheetId="20" hidden="1">#REF!</definedName>
    <definedName name="BExQA9HZIN9XEMHEEVHT99UU9Z82" hidden="1">#REF!</definedName>
    <definedName name="BExQAELFYH92K8CJL155181UDORO" localSheetId="20" hidden="1">#REF!</definedName>
    <definedName name="BExQAELFYH92K8CJL155181UDORO" hidden="1">#REF!</definedName>
    <definedName name="BExQAG8PP8R5NJKNQD1U4QOSD6X5" localSheetId="20" hidden="1">#REF!</definedName>
    <definedName name="BExQAG8PP8R5NJKNQD1U4QOSD6X5" hidden="1">#REF!</definedName>
    <definedName name="BExQATFG0VP9HTVNMWL5T6B3N3IP" localSheetId="20" hidden="1">#REF!</definedName>
    <definedName name="BExQATFG0VP9HTVNMWL5T6B3N3IP" hidden="1">#REF!</definedName>
    <definedName name="BExQAYDITUO5K8A2FQRB0H1O4I4E" localSheetId="20" hidden="1">#REF!</definedName>
    <definedName name="BExQAYDITUO5K8A2FQRB0H1O4I4E" hidden="1">#REF!</definedName>
    <definedName name="BExQBDICMZTSA1X73TMHNO4JSFLN" localSheetId="20" hidden="1">#REF!</definedName>
    <definedName name="BExQBDICMZTSA1X73TMHNO4JSFLN" hidden="1">#REF!</definedName>
    <definedName name="BExQBEER6CRCRPSSL61S0OMH57ZA" localSheetId="20" hidden="1">#REF!</definedName>
    <definedName name="BExQBEER6CRCRPSSL61S0OMH57ZA" hidden="1">#REF!</definedName>
    <definedName name="BExQBIGGY5TXI2FJVVZSLZ0LTZYH" localSheetId="20" hidden="1">#REF!</definedName>
    <definedName name="BExQBIGGY5TXI2FJVVZSLZ0LTZYH" hidden="1">#REF!</definedName>
    <definedName name="BExQBM1RUSIQ85LLMM2159BYDPIP" localSheetId="20" hidden="1">#REF!</definedName>
    <definedName name="BExQBM1RUSIQ85LLMM2159BYDPIP" hidden="1">#REF!</definedName>
    <definedName name="BExQBPSOZ47V81YAEURP0NQJNTJH" localSheetId="20" hidden="1">#REF!</definedName>
    <definedName name="BExQBPSOZ47V81YAEURP0NQJNTJH" hidden="1">#REF!</definedName>
    <definedName name="BExQBZZKW056AXUH7L35UYMATHNR" localSheetId="20" hidden="1">#REF!</definedName>
    <definedName name="BExQBZZKW056AXUH7L35UYMATHNR" hidden="1">#REF!</definedName>
    <definedName name="BExQC5TWT21CGBKD0IHAXTIN2QB8" localSheetId="20" hidden="1">#REF!</definedName>
    <definedName name="BExQC5TWT21CGBKD0IHAXTIN2QB8" hidden="1">#REF!</definedName>
    <definedName name="BExQC94JL9F5GW4S8DQCAF4WB2DA" localSheetId="20" hidden="1">#REF!</definedName>
    <definedName name="BExQC94JL9F5GW4S8DQCAF4WB2DA" hidden="1">#REF!</definedName>
    <definedName name="BExQCDH4D9DTA02ITMHNTDANJREJ" localSheetId="20" hidden="1">#REF!</definedName>
    <definedName name="BExQCDH4D9DTA02ITMHNTDANJREJ" hidden="1">#REF!</definedName>
    <definedName name="BExQCKTD8AT0824LGWREXM1B5D1X" localSheetId="20" hidden="1">#REF!</definedName>
    <definedName name="BExQCKTD8AT0824LGWREXM1B5D1X" hidden="1">#REF!</definedName>
    <definedName name="BExQCOV3MAQPJ038UJX6SNODPAZU" localSheetId="20" hidden="1">#REF!</definedName>
    <definedName name="BExQCOV3MAQPJ038UJX6SNODPAZU" hidden="1">#REF!</definedName>
    <definedName name="BExQD571YWOXKR2SX85K5MKQ0AO2" localSheetId="20" hidden="1">#REF!</definedName>
    <definedName name="BExQD571YWOXKR2SX85K5MKQ0AO2" hidden="1">#REF!</definedName>
    <definedName name="BExQD8SK7Y1Y0AYWI0WMF0ET8HR1" localSheetId="20" hidden="1">#REF!</definedName>
    <definedName name="BExQD8SK7Y1Y0AYWI0WMF0ET8HR1" hidden="1">#REF!</definedName>
    <definedName name="BExQDB6VCHN8PNX8EA6JNIEQ2JC2" localSheetId="20" hidden="1">#REF!</definedName>
    <definedName name="BExQDB6VCHN8PNX8EA6JNIEQ2JC2" hidden="1">#REF!</definedName>
    <definedName name="BExQDE1B6U2Q9B73KBENABP71YM1" localSheetId="20" hidden="1">#REF!</definedName>
    <definedName name="BExQDE1B6U2Q9B73KBENABP71YM1" hidden="1">#REF!</definedName>
    <definedName name="BExQDG4YSI6HR3RI4SO2KWMGKUPB" localSheetId="20" hidden="1">#REF!</definedName>
    <definedName name="BExQDG4YSI6HR3RI4SO2KWMGKUPB" hidden="1">#REF!</definedName>
    <definedName name="BExQDGQCN7ZW41QDUHOBJUGQAX40" localSheetId="20" hidden="1">#REF!</definedName>
    <definedName name="BExQDGQCN7ZW41QDUHOBJUGQAX40" hidden="1">#REF!</definedName>
    <definedName name="BExQE73VMCL6FGT6439XK03B088Y" localSheetId="20" hidden="1">#REF!</definedName>
    <definedName name="BExQE73VMCL6FGT6439XK03B088Y" hidden="1">#REF!</definedName>
    <definedName name="BExQEC7BRIJ30PTU3UPFOIP2HPE3" localSheetId="20" hidden="1">#REF!</definedName>
    <definedName name="BExQEC7BRIJ30PTU3UPFOIP2HPE3" hidden="1">#REF!</definedName>
    <definedName name="BExQELXVICMMT0JFDWUW1L3I335X" localSheetId="20" hidden="1">#REF!</definedName>
    <definedName name="BExQELXVICMMT0JFDWUW1L3I335X" hidden="1">#REF!</definedName>
    <definedName name="BExQEMUA4HEFM4OVO8M8MA8PIAW1" localSheetId="20" hidden="1">#REF!</definedName>
    <definedName name="BExQEMUA4HEFM4OVO8M8MA8PIAW1" hidden="1">#REF!</definedName>
    <definedName name="BExQEQ4XZQFIKUXNU9H7WE7AMZ1U" localSheetId="20" hidden="1">#REF!</definedName>
    <definedName name="BExQEQ4XZQFIKUXNU9H7WE7AMZ1U" hidden="1">#REF!</definedName>
    <definedName name="BExQERHKUGD73UH278HHQULBSG9M" localSheetId="20" hidden="1">#REF!</definedName>
    <definedName name="BExQERHKUGD73UH278HHQULBSG9M" hidden="1">#REF!</definedName>
    <definedName name="BExQESZI930ZHFKIRJ3TMK3X27PH" localSheetId="20" hidden="1">#REF!</definedName>
    <definedName name="BExQESZI930ZHFKIRJ3TMK3X27PH" hidden="1">#REF!</definedName>
    <definedName name="BExQEY88PESL76JUL4GA11W8IHFE" localSheetId="20" hidden="1">#REF!</definedName>
    <definedName name="BExQEY88PESL76JUL4GA11W8IHFE" hidden="1">#REF!</definedName>
    <definedName name="BExQF1OEB07CRAP6ALNNMJNJ3P2D" localSheetId="20" hidden="1">#REF!</definedName>
    <definedName name="BExQF1OEB07CRAP6ALNNMJNJ3P2D" hidden="1">#REF!</definedName>
    <definedName name="BExQF9X2AQPFJZTCHTU5PTTR0JAH" localSheetId="20" hidden="1">#REF!</definedName>
    <definedName name="BExQF9X2AQPFJZTCHTU5PTTR0JAH" hidden="1">#REF!</definedName>
    <definedName name="BExQFC0M9KKFMQKPLPEO2RQDB7MM" localSheetId="20" hidden="1">#REF!</definedName>
    <definedName name="BExQFC0M9KKFMQKPLPEO2RQDB7MM" hidden="1">#REF!</definedName>
    <definedName name="BExQFEEV7627R8TYZCM28C6V6WHE" localSheetId="20" hidden="1">#REF!</definedName>
    <definedName name="BExQFEEV7627R8TYZCM28C6V6WHE" hidden="1">#REF!</definedName>
    <definedName name="BExQFEK8NUD04X2OBRA275ADPSDL" localSheetId="20" hidden="1">#REF!</definedName>
    <definedName name="BExQFEK8NUD04X2OBRA275ADPSDL" hidden="1">#REF!</definedName>
    <definedName name="BExQFGYIWDR4W0YF7XR6E4EWWJ02" localSheetId="20" hidden="1">#REF!</definedName>
    <definedName name="BExQFGYIWDR4W0YF7XR6E4EWWJ02" hidden="1">#REF!</definedName>
    <definedName name="BExQFPNFKA36IAPS22LAUMBDI4KE" localSheetId="20" hidden="1">#REF!</definedName>
    <definedName name="BExQFPNFKA36IAPS22LAUMBDI4KE" hidden="1">#REF!</definedName>
    <definedName name="BExQFPSWEMA8WBUZ4WK20LR13VSU" localSheetId="20" hidden="1">#REF!</definedName>
    <definedName name="BExQFPSWEMA8WBUZ4WK20LR13VSU" hidden="1">#REF!</definedName>
    <definedName name="BExQFVSPOSCCPF1TLJPIWYWYB8A9" localSheetId="20" hidden="1">#REF!</definedName>
    <definedName name="BExQFVSPOSCCPF1TLJPIWYWYB8A9" hidden="1">#REF!</definedName>
    <definedName name="BExQFWJQXNQAW6LUMOEDS6KMJMYL" localSheetId="20" hidden="1">#REF!</definedName>
    <definedName name="BExQFWJQXNQAW6LUMOEDS6KMJMYL" hidden="1">#REF!</definedName>
    <definedName name="BExQFZZRMR5PQTR0X833N3LRX6ZL" localSheetId="20" hidden="1">#REF!</definedName>
    <definedName name="BExQFZZRMR5PQTR0X833N3LRX6ZL" hidden="1">#REF!</definedName>
    <definedName name="BExQG8TYRD2G42UA5ZPCRLNKUDMX" localSheetId="20" hidden="1">#REF!</definedName>
    <definedName name="BExQG8TYRD2G42UA5ZPCRLNKUDMX" hidden="1">#REF!</definedName>
    <definedName name="BExQGO48J9MPCDQ96RBB9UN9AIGT" localSheetId="20" hidden="1">#REF!</definedName>
    <definedName name="BExQGO48J9MPCDQ96RBB9UN9AIGT" hidden="1">#REF!</definedName>
    <definedName name="BExQGSBB6MJWDW7AYWA0MSFTXKRR" localSheetId="20" hidden="1">#REF!</definedName>
    <definedName name="BExQGSBB6MJWDW7AYWA0MSFTXKRR" hidden="1">#REF!</definedName>
    <definedName name="BExQGV5VQ04IFVBYEFOZQHKJ561J" localSheetId="20" hidden="1">#REF!</definedName>
    <definedName name="BExQGV5VQ04IFVBYEFOZQHKJ561J" hidden="1">#REF!</definedName>
    <definedName name="BExQGVB7GL4W9291MCCPQ46Z66C1" localSheetId="20" hidden="1">#REF!</definedName>
    <definedName name="BExQGVB7GL4W9291MCCPQ46Z66C1" hidden="1">#REF!</definedName>
    <definedName name="BExQH0UURAJ13AVO5UI04HSRGVYW" localSheetId="20" hidden="1">#REF!</definedName>
    <definedName name="BExQH0UURAJ13AVO5UI04HSRGVYW" hidden="1">#REF!</definedName>
    <definedName name="BExQH6ZZY0NR8SE48PSI9D0CU1TC" localSheetId="20" hidden="1">#REF!</definedName>
    <definedName name="BExQH6ZZY0NR8SE48PSI9D0CU1TC" hidden="1">#REF!</definedName>
    <definedName name="BExQH9P2MCXAJOVEO4GFQT6MNW22" localSheetId="20" hidden="1">#REF!</definedName>
    <definedName name="BExQH9P2MCXAJOVEO4GFQT6MNW22" hidden="1">#REF!</definedName>
    <definedName name="BExQHCZSBYUY8OKKJXFYWKBBM6AH" localSheetId="20" hidden="1">#REF!</definedName>
    <definedName name="BExQHCZSBYUY8OKKJXFYWKBBM6AH" hidden="1">#REF!</definedName>
    <definedName name="BExQHPKXZ1K33V2F90NZIQRZYIAW" localSheetId="20" hidden="1">#REF!</definedName>
    <definedName name="BExQHPKXZ1K33V2F90NZIQRZYIAW" hidden="1">#REF!</definedName>
    <definedName name="BExQHVF9KD06AG2RXUQJ9X4PVGX4" localSheetId="20" hidden="1">#REF!</definedName>
    <definedName name="BExQHVF9KD06AG2RXUQJ9X4PVGX4" hidden="1">#REF!</definedName>
    <definedName name="BExQHXDHUYC4Q1EIPVGT5YX2JZL4" localSheetId="20" hidden="1">#REF!</definedName>
    <definedName name="BExQHXDHUYC4Q1EIPVGT5YX2JZL4" hidden="1">#REF!</definedName>
    <definedName name="BExQHZBHVN2L4HC7ACTR73T5OCV0" localSheetId="20" hidden="1">#REF!</definedName>
    <definedName name="BExQHZBHVN2L4HC7ACTR73T5OCV0" hidden="1">#REF!</definedName>
    <definedName name="BExQI5M37YD0WH3DQITAZHZBB115" localSheetId="20" hidden="1">#REF!</definedName>
    <definedName name="BExQI5M37YD0WH3DQITAZHZBB115" hidden="1">#REF!</definedName>
    <definedName name="BExQI7V42EHAI28LLDLOQJ1ETBBF" localSheetId="20" hidden="1">#REF!</definedName>
    <definedName name="BExQI7V42EHAI28LLDLOQJ1ETBBF" hidden="1">#REF!</definedName>
    <definedName name="BExQI85V9TNLDJT5LTRZS10Y26SG" localSheetId="20" hidden="1">#REF!</definedName>
    <definedName name="BExQI85V9TNLDJT5LTRZS10Y26SG" hidden="1">#REF!</definedName>
    <definedName name="BExQIAPKHVEV8CU1L3TTHJW67FJ5" localSheetId="20" hidden="1">#REF!</definedName>
    <definedName name="BExQIAPKHVEV8CU1L3TTHJW67FJ5" hidden="1">#REF!</definedName>
    <definedName name="BExQIBB4I3Z6AUU0HYV1DHRS13M4" localSheetId="20" hidden="1">#REF!</definedName>
    <definedName name="BExQIBB4I3Z6AUU0HYV1DHRS13M4" hidden="1">#REF!</definedName>
    <definedName name="BExQIBWPAXU7HJZLKGJZY3EB7MIS" localSheetId="20" hidden="1">#REF!</definedName>
    <definedName name="BExQIBWPAXU7HJZLKGJZY3EB7MIS" hidden="1">#REF!</definedName>
    <definedName name="BExQIEB09IBJU22LBRVC4SFL687J" localSheetId="20" hidden="1">#REF!</definedName>
    <definedName name="BExQIEB09IBJU22LBRVC4SFL687J" hidden="1">#REF!</definedName>
    <definedName name="BExQIJUJOU8IYLVQCFMPTADHZ9J7" localSheetId="20" hidden="1">#REF!</definedName>
    <definedName name="BExQIJUJOU8IYLVQCFMPTADHZ9J7" hidden="1">#REF!</definedName>
    <definedName name="BExQIS8O6R36CI01XRY9ISM99TW9" localSheetId="20" hidden="1">#REF!</definedName>
    <definedName name="BExQIS8O6R36CI01XRY9ISM99TW9" hidden="1">#REF!</definedName>
    <definedName name="BExQIVJB9MJ25NDUHTCVMSODJY2C" localSheetId="20" hidden="1">#REF!</definedName>
    <definedName name="BExQIVJB9MJ25NDUHTCVMSODJY2C" hidden="1">#REF!</definedName>
    <definedName name="BExQJ2KYENKJB760H4Z8NV8Z08WT" localSheetId="20" hidden="1">#REF!</definedName>
    <definedName name="BExQJ2KYENKJB760H4Z8NV8Z08WT" hidden="1">#REF!</definedName>
    <definedName name="BExQJ4DQ84ZQCB1WU62YHO0XEQSV" localSheetId="20" hidden="1">#REF!</definedName>
    <definedName name="BExQJ4DQ84ZQCB1WU62YHO0XEQSV" hidden="1">#REF!</definedName>
    <definedName name="BExQJBF7LAX128WR7VTMJC88ZLPG" localSheetId="20" hidden="1">#REF!</definedName>
    <definedName name="BExQJBF7LAX128WR7VTMJC88ZLPG" hidden="1">#REF!</definedName>
    <definedName name="BExQJEVCKX6KZHNCLYXY7D0MX5KN" localSheetId="20" hidden="1">#REF!</definedName>
    <definedName name="BExQJEVCKX6KZHNCLYXY7D0MX5KN" hidden="1">#REF!</definedName>
    <definedName name="BExQJJYSDX8B0J1QGF2HL071KKA3" localSheetId="20" hidden="1">#REF!</definedName>
    <definedName name="BExQJJYSDX8B0J1QGF2HL071KKA3" hidden="1">#REF!</definedName>
    <definedName name="BExQJQPFM9GN0NWOW73O5VE3NTJO" localSheetId="20" hidden="1">#REF!</definedName>
    <definedName name="BExQJQPFM9GN0NWOW73O5VE3NTJO" hidden="1">#REF!</definedName>
    <definedName name="BExQK1HV6SQQ7CP8H8IUKI9TYXTD" localSheetId="20" hidden="1">#REF!</definedName>
    <definedName name="BExQK1HV6SQQ7CP8H8IUKI9TYXTD" hidden="1">#REF!</definedName>
    <definedName name="BExQK3LE5CSBW1E4H4KHW548FL2R" localSheetId="20" hidden="1">#REF!</definedName>
    <definedName name="BExQK3LE5CSBW1E4H4KHW548FL2R" hidden="1">#REF!</definedName>
    <definedName name="BExQKG6LD6PLNDGNGO9DJXY865BR" localSheetId="20" hidden="1">#REF!</definedName>
    <definedName name="BExQKG6LD6PLNDGNGO9DJXY865BR" hidden="1">#REF!</definedName>
    <definedName name="BExQKKDMM6UNMDK33ZZN3QBP6TN6" localSheetId="20" hidden="1">#REF!</definedName>
    <definedName name="BExQKKDMM6UNMDK33ZZN3QBP6TN6" hidden="1">#REF!</definedName>
    <definedName name="BExQKP6ANI278H3LT3CHFIOFPQDR" localSheetId="20" hidden="1">#REF!</definedName>
    <definedName name="BExQKP6ANI278H3LT3CHFIOFPQDR" hidden="1">#REF!</definedName>
    <definedName name="BExQLE1TOW3A287TQB0AVWENT8O1" localSheetId="20" hidden="1">#REF!</definedName>
    <definedName name="BExQLE1TOW3A287TQB0AVWENT8O1" hidden="1">#REF!</definedName>
    <definedName name="BExRYOYB4A3E5F6MTROY69LR0PMG" localSheetId="20" hidden="1">#REF!</definedName>
    <definedName name="BExRYOYB4A3E5F6MTROY69LR0PMG" hidden="1">#REF!</definedName>
    <definedName name="BExRYZLA9EW71H4SXQR525S72LLP" localSheetId="20" hidden="1">#REF!</definedName>
    <definedName name="BExRYZLA9EW71H4SXQR525S72LLP" hidden="1">#REF!</definedName>
    <definedName name="BExRZ66M8G9FQ0VFP077QSZBSOA5" localSheetId="20" hidden="1">#REF!</definedName>
    <definedName name="BExRZ66M8G9FQ0VFP077QSZBSOA5" hidden="1">#REF!</definedName>
    <definedName name="BExRZ8FMQQL46I8AQWU17LRNZD5T" localSheetId="20" hidden="1">#REF!</definedName>
    <definedName name="BExRZ8FMQQL46I8AQWU17LRNZD5T" hidden="1">#REF!</definedName>
    <definedName name="BExRZIRRIXRUMZ5GOO95S7460BMP" localSheetId="20" hidden="1">#REF!</definedName>
    <definedName name="BExRZIRRIXRUMZ5GOO95S7460BMP" hidden="1">#REF!</definedName>
    <definedName name="BExRZK9RAHMM0ZLTNSK7A4LDC42D" localSheetId="20" hidden="1">#REF!</definedName>
    <definedName name="BExRZK9RAHMM0ZLTNSK7A4LDC42D" hidden="1">#REF!</definedName>
    <definedName name="BExRZOGSR69INI6GAEPHDWSNK5Q4" localSheetId="20" hidden="1">#REF!</definedName>
    <definedName name="BExRZOGSR69INI6GAEPHDWSNK5Q4" hidden="1">#REF!</definedName>
    <definedName name="BExS017FU4YOHE3YTW15EQ9ZTN1Y" localSheetId="20" hidden="1">#REF!</definedName>
    <definedName name="BExS017FU4YOHE3YTW15EQ9ZTN1Y" hidden="1">#REF!</definedName>
    <definedName name="BExS0ASQBKRTPDWFK0KUDFOS9LE5" localSheetId="20" hidden="1">#REF!</definedName>
    <definedName name="BExS0ASQBKRTPDWFK0KUDFOS9LE5" hidden="1">#REF!</definedName>
    <definedName name="BExS0GHQUF6YT0RU3TKDEO8CSJYB" localSheetId="20" hidden="1">#REF!</definedName>
    <definedName name="BExS0GHQUF6YT0RU3TKDEO8CSJYB" hidden="1">#REF!</definedName>
    <definedName name="BExS0K8IHC45I78DMZBOJ1P13KQA" localSheetId="20" hidden="1">#REF!</definedName>
    <definedName name="BExS0K8IHC45I78DMZBOJ1P13KQA" hidden="1">#REF!</definedName>
    <definedName name="BExS14X03J9K12GCDNGZI9AZKE9C" localSheetId="20" hidden="1">#REF!</definedName>
    <definedName name="BExS14X03J9K12GCDNGZI9AZKE9C" hidden="1">#REF!</definedName>
    <definedName name="BExS152B2LFCRAUHSLI5T6QRNII0" localSheetId="20" hidden="1">#REF!</definedName>
    <definedName name="BExS152B2LFCRAUHSLI5T6QRNII0" hidden="1">#REF!</definedName>
    <definedName name="BExS15IJV0WW662NXQUVT3FGP4ST" localSheetId="20" hidden="1">#REF!</definedName>
    <definedName name="BExS15IJV0WW662NXQUVT3FGP4ST" hidden="1">#REF!</definedName>
    <definedName name="BExS194110MR25BYJI3CJ2EGZ8XT" localSheetId="20" hidden="1">#REF!</definedName>
    <definedName name="BExS194110MR25BYJI3CJ2EGZ8XT" hidden="1">#REF!</definedName>
    <definedName name="BExS1BNVGNSGD4EP90QL8WXYWZ66" localSheetId="20" hidden="1">#REF!</definedName>
    <definedName name="BExS1BNVGNSGD4EP90QL8WXYWZ66" hidden="1">#REF!</definedName>
    <definedName name="BExS1UE39N6NCND7MAARSBWXS6HU" localSheetId="20" hidden="1">#REF!</definedName>
    <definedName name="BExS1UE39N6NCND7MAARSBWXS6HU" hidden="1">#REF!</definedName>
    <definedName name="BExS226HTWL5WVC76MP5A1IBI8WD" localSheetId="20" hidden="1">#REF!</definedName>
    <definedName name="BExS226HTWL5WVC76MP5A1IBI8WD" hidden="1">#REF!</definedName>
    <definedName name="BExS26OI2QNNAH2WMDD95Z400048" localSheetId="20" hidden="1">#REF!</definedName>
    <definedName name="BExS26OI2QNNAH2WMDD95Z400048" hidden="1">#REF!</definedName>
    <definedName name="BExS2DF6B4ZUF3VZLI4G6LJ3BF38" localSheetId="20" hidden="1">#REF!</definedName>
    <definedName name="BExS2DF6B4ZUF3VZLI4G6LJ3BF38" hidden="1">#REF!</definedName>
    <definedName name="BExS2QB5FS5LYTFYO4BROTWG3OV5" localSheetId="20" hidden="1">#REF!</definedName>
    <definedName name="BExS2QB5FS5LYTFYO4BROTWG3OV5" hidden="1">#REF!</definedName>
    <definedName name="BExS2TLU1HONYV6S3ZD9T12D7CIG" localSheetId="20" hidden="1">#REF!</definedName>
    <definedName name="BExS2TLU1HONYV6S3ZD9T12D7CIG" hidden="1">#REF!</definedName>
    <definedName name="BExS318UV9I2FXPQQWUKKX00QLPJ" localSheetId="20" hidden="1">#REF!</definedName>
    <definedName name="BExS318UV9I2FXPQQWUKKX00QLPJ" hidden="1">#REF!</definedName>
    <definedName name="BExS3KQ6RJB21YELK7Z4KFN2CQPS" localSheetId="20" hidden="1">#REF!</definedName>
    <definedName name="BExS3KQ6RJB21YELK7Z4KFN2CQPS" hidden="1">#REF!</definedName>
    <definedName name="BExS3LBS0SMTHALVM4NRI1BAV1NP" localSheetId="20" hidden="1">#REF!</definedName>
    <definedName name="BExS3LBS0SMTHALVM4NRI1BAV1NP" hidden="1">#REF!</definedName>
    <definedName name="BExS3MTQ75VBXDGEBURP6YT8RROE" localSheetId="20" hidden="1">#REF!</definedName>
    <definedName name="BExS3MTQ75VBXDGEBURP6YT8RROE" hidden="1">#REF!</definedName>
    <definedName name="BExS3OMGYO0DFN5186UFKEXZ2RX3" localSheetId="20" hidden="1">#REF!</definedName>
    <definedName name="BExS3OMGYO0DFN5186UFKEXZ2RX3" hidden="1">#REF!</definedName>
    <definedName name="BExS3PO59RQLS7HO1A6UIPRZX70V" localSheetId="20" hidden="1">#REF!</definedName>
    <definedName name="BExS3PO59RQLS7HO1A6UIPRZX70V" hidden="1">#REF!</definedName>
    <definedName name="BExS3SDERJ27OER67TIGOVZU13A2" localSheetId="20" hidden="1">#REF!</definedName>
    <definedName name="BExS3SDERJ27OER67TIGOVZU13A2" hidden="1">#REF!</definedName>
    <definedName name="BExS46R5WDNU5KL04FKY5LHJUCB8" localSheetId="20" hidden="1">#REF!</definedName>
    <definedName name="BExS46R5WDNU5KL04FKY5LHJUCB8" hidden="1">#REF!</definedName>
    <definedName name="BExS46WMSMYP0MQ9GHLZM5ON641L" localSheetId="20" hidden="1">#REF!</definedName>
    <definedName name="BExS46WMSMYP0MQ9GHLZM5ON641L" hidden="1">#REF!</definedName>
    <definedName name="BExS4ASWKM93XA275AXHYP8AG6SU" localSheetId="20" hidden="1">#REF!</definedName>
    <definedName name="BExS4ASWKM93XA275AXHYP8AG6SU" hidden="1">#REF!</definedName>
    <definedName name="BExS4JN3Y6SVBKILQK0R9HS45Y52" localSheetId="20" hidden="1">#REF!</definedName>
    <definedName name="BExS4JN3Y6SVBKILQK0R9HS45Y52" hidden="1">#REF!</definedName>
    <definedName name="BExS4P6S41O6Z6BED77U3GD9PNH1" localSheetId="20" hidden="1">#REF!</definedName>
    <definedName name="BExS4P6S41O6Z6BED77U3GD9PNH1" hidden="1">#REF!</definedName>
    <definedName name="BExS4WOJWBEF6OH97BLAVUD3TQ7R" localSheetId="20" hidden="1">#REF!</definedName>
    <definedName name="BExS4WOJWBEF6OH97BLAVUD3TQ7R" hidden="1">#REF!</definedName>
    <definedName name="BExS51H0N51UT0FZOPZRCF1GU063" localSheetId="20" hidden="1">#REF!</definedName>
    <definedName name="BExS51H0N51UT0FZOPZRCF1GU063" hidden="1">#REF!</definedName>
    <definedName name="BExS54X72TJFC41FJK72MLRR2OO7" localSheetId="20" hidden="1">#REF!</definedName>
    <definedName name="BExS54X72TJFC41FJK72MLRR2OO7" hidden="1">#REF!</definedName>
    <definedName name="BExS59F0PA1V2ZC7S5TN6IT41SXP" localSheetId="20" hidden="1">#REF!</definedName>
    <definedName name="BExS59F0PA1V2ZC7S5TN6IT41SXP" hidden="1">#REF!</definedName>
    <definedName name="BExS5DRER9US6NXY9ATYT41KZII3" localSheetId="20" hidden="1">#REF!</definedName>
    <definedName name="BExS5DRER9US6NXY9ATYT41KZII3" hidden="1">#REF!</definedName>
    <definedName name="BExS5L3TGB8JVW9ROYWTKYTUPW27" localSheetId="20" hidden="1">#REF!</definedName>
    <definedName name="BExS5L3TGB8JVW9ROYWTKYTUPW27" hidden="1">#REF!</definedName>
    <definedName name="BExS5UP3NQ1QY0PMIO69O2J1JRQX" localSheetId="20" hidden="1">#REF!</definedName>
    <definedName name="BExS5UP3NQ1QY0PMIO69O2J1JRQX" hidden="1">#REF!</definedName>
    <definedName name="BExS64QH0TK7BFMOHTRNM3DTXCZ5" localSheetId="20" hidden="1">'[38]10.08.2 - 2008 Expense'!#REF!</definedName>
    <definedName name="BExS64QH0TK7BFMOHTRNM3DTXCZ5" hidden="1">'[38]10.08.2 - 2008 Expense'!#REF!</definedName>
    <definedName name="BExS668EZXO8KT71OK13TBL2MYVF" localSheetId="15" hidden="1">#REF!</definedName>
    <definedName name="BExS668EZXO8KT71OK13TBL2MYVF" localSheetId="16" hidden="1">#REF!</definedName>
    <definedName name="BExS668EZXO8KT71OK13TBL2MYVF" localSheetId="20" hidden="1">#REF!</definedName>
    <definedName name="BExS668EZXO8KT71OK13TBL2MYVF" hidden="1">#REF!</definedName>
    <definedName name="BExS6GKQ96EHVLYWNJDWXZXUZW90" localSheetId="20" hidden="1">#REF!</definedName>
    <definedName name="BExS6GKQ96EHVLYWNJDWXZXUZW90" hidden="1">#REF!</definedName>
    <definedName name="BExS6ITKSZFRR01YD5B0F676SYN7" localSheetId="20" hidden="1">#REF!</definedName>
    <definedName name="BExS6ITKSZFRR01YD5B0F676SYN7" hidden="1">#REF!</definedName>
    <definedName name="BExS6M4AG8VGSMFGJXMMJ6YYATZI" localSheetId="20" hidden="1">'[38]10.08.5 - 2008 Capital - TDBU'!#REF!</definedName>
    <definedName name="BExS6M4AG8VGSMFGJXMMJ6YYATZI" hidden="1">'[38]10.08.5 - 2008 Capital - TDBU'!#REF!</definedName>
    <definedName name="BExS6N0LI574IAC89EFW6CLTCQ33" localSheetId="15" hidden="1">#REF!</definedName>
    <definedName name="BExS6N0LI574IAC89EFW6CLTCQ33" localSheetId="16" hidden="1">#REF!</definedName>
    <definedName name="BExS6N0LI574IAC89EFW6CLTCQ33" localSheetId="20" hidden="1">#REF!</definedName>
    <definedName name="BExS6N0LI574IAC89EFW6CLTCQ33" hidden="1">#REF!</definedName>
    <definedName name="BExS6WRDBF3ST86ZOBBUL3GTCR11" localSheetId="20" hidden="1">#REF!</definedName>
    <definedName name="BExS6WRDBF3ST86ZOBBUL3GTCR11" hidden="1">#REF!</definedName>
    <definedName name="BExS6XNRKR0C3MTA0LV5B60UB908" localSheetId="20" hidden="1">#REF!</definedName>
    <definedName name="BExS6XNRKR0C3MTA0LV5B60UB908" hidden="1">#REF!</definedName>
    <definedName name="BExS743NAKMEAA4255AJCZWPVQD5" localSheetId="20" hidden="1">#REF!</definedName>
    <definedName name="BExS743NAKMEAA4255AJCZWPVQD5" hidden="1">#REF!</definedName>
    <definedName name="BExS7EQLZPAVX5ZPW27ZJHFHXJWR" localSheetId="20" hidden="1">#REF!</definedName>
    <definedName name="BExS7EQLZPAVX5ZPW27ZJHFHXJWR" hidden="1">#REF!</definedName>
    <definedName name="BExS7J348DNX760P5D4N9N72C1H1" localSheetId="20" hidden="1">#REF!</definedName>
    <definedName name="BExS7J348DNX760P5D4N9N72C1H1" hidden="1">#REF!</definedName>
    <definedName name="BExS7OMMB9XYX3CR9NYR0OI0B6YV" localSheetId="20" hidden="1">#REF!</definedName>
    <definedName name="BExS7OMMB9XYX3CR9NYR0OI0B6YV" hidden="1">#REF!</definedName>
    <definedName name="BExS7TKQYLRZGM93UY3ZJZJBQNFJ" localSheetId="20" hidden="1">#REF!</definedName>
    <definedName name="BExS7TKQYLRZGM93UY3ZJZJBQNFJ" hidden="1">#REF!</definedName>
    <definedName name="BExS7Y2LNGVHSIBKC7C3R6X4LDR6" localSheetId="20" hidden="1">#REF!</definedName>
    <definedName name="BExS7Y2LNGVHSIBKC7C3R6X4LDR6" hidden="1">#REF!</definedName>
    <definedName name="BExS81TE0EY44Y3W2M4Z4MGNP5OM" localSheetId="20" hidden="1">#REF!</definedName>
    <definedName name="BExS81TE0EY44Y3W2M4Z4MGNP5OM" hidden="1">#REF!</definedName>
    <definedName name="BExS81YPDZDVJJVS15HV2HDXAC3Y" localSheetId="20" hidden="1">#REF!</definedName>
    <definedName name="BExS81YPDZDVJJVS15HV2HDXAC3Y" hidden="1">#REF!</definedName>
    <definedName name="BExS82PRVNUTEKQZS56YT2DVF6C2" localSheetId="20" hidden="1">#REF!</definedName>
    <definedName name="BExS82PRVNUTEKQZS56YT2DVF6C2" hidden="1">#REF!</definedName>
    <definedName name="BExS8BPG5A0GR5AO1U951NDGGR0L" localSheetId="20" hidden="1">#REF!</definedName>
    <definedName name="BExS8BPG5A0GR5AO1U951NDGGR0L" hidden="1">#REF!</definedName>
    <definedName name="BExS8GSUS17UY50TEM2AWF36BR9Z" localSheetId="20" hidden="1">#REF!</definedName>
    <definedName name="BExS8GSUS17UY50TEM2AWF36BR9Z" hidden="1">#REF!</definedName>
    <definedName name="BExS8HJRBVG0XI6PWA9KTMJZMQXK" localSheetId="20" hidden="1">#REF!</definedName>
    <definedName name="BExS8HJRBVG0XI6PWA9KTMJZMQXK" hidden="1">#REF!</definedName>
    <definedName name="BExS8PN4E1L5NH0OOKX0SGAV052X" localSheetId="20" hidden="1">#REF!</definedName>
    <definedName name="BExS8PN4E1L5NH0OOKX0SGAV052X" hidden="1">#REF!</definedName>
    <definedName name="BExS8R51C8RM2FS6V6IRTYO9GA4A" localSheetId="20" hidden="1">#REF!</definedName>
    <definedName name="BExS8R51C8RM2FS6V6IRTYO9GA4A" hidden="1">#REF!</definedName>
    <definedName name="BExS8WDX408F60MH1X9B9UZ2H4R7" localSheetId="20" hidden="1">#REF!</definedName>
    <definedName name="BExS8WDX408F60MH1X9B9UZ2H4R7" hidden="1">#REF!</definedName>
    <definedName name="BExS8Z2W2QEC3MH0BZIYLDFQNUIP" localSheetId="20" hidden="1">#REF!</definedName>
    <definedName name="BExS8Z2W2QEC3MH0BZIYLDFQNUIP" hidden="1">#REF!</definedName>
    <definedName name="BExS8Z8DJ9GSBTJQBINLMFIRTKJ2" localSheetId="20" hidden="1">#REF!</definedName>
    <definedName name="BExS8Z8DJ9GSBTJQBINLMFIRTKJ2" hidden="1">#REF!</definedName>
    <definedName name="BExS92DKGRFFCIA9C0IXDOLO57EP" localSheetId="20" hidden="1">#REF!</definedName>
    <definedName name="BExS92DKGRFFCIA9C0IXDOLO57EP" hidden="1">#REF!</definedName>
    <definedName name="BExS95DMT99CLDFYVR0MMS5QFQ4O" localSheetId="20" hidden="1">#REF!</definedName>
    <definedName name="BExS95DMT99CLDFYVR0MMS5QFQ4O" hidden="1">#REF!</definedName>
    <definedName name="BExS98OB4321YCHLCQ022PXKTT2W" localSheetId="20" hidden="1">#REF!</definedName>
    <definedName name="BExS98OB4321YCHLCQ022PXKTT2W" hidden="1">#REF!</definedName>
    <definedName name="BExS9C9N8GFISC6HUERJ0EI06GB2" localSheetId="20" hidden="1">#REF!</definedName>
    <definedName name="BExS9C9N8GFISC6HUERJ0EI06GB2" hidden="1">#REF!</definedName>
    <definedName name="BExS9DX13CACP3J8JDREK30JB1SQ" localSheetId="20" hidden="1">#REF!</definedName>
    <definedName name="BExS9DX13CACP3J8JDREK30JB1SQ" hidden="1">#REF!</definedName>
    <definedName name="BExS9FPRS2KRRCS33SE6WFNF5GYL" localSheetId="20" hidden="1">#REF!</definedName>
    <definedName name="BExS9FPRS2KRRCS33SE6WFNF5GYL" hidden="1">#REF!</definedName>
    <definedName name="BExS9MWR7YEFZL0UO24FU8UDGAXH" localSheetId="20" hidden="1">#REF!</definedName>
    <definedName name="BExS9MWR7YEFZL0UO24FU8UDGAXH" hidden="1">#REF!</definedName>
    <definedName name="BExS9WI0A6PSEB8N9GPXF2Z7MWHM" localSheetId="20" hidden="1">#REF!</definedName>
    <definedName name="BExS9WI0A6PSEB8N9GPXF2Z7MWHM" hidden="1">#REF!</definedName>
    <definedName name="BExSA5HP306TN9XJS0TU619DLRR7" localSheetId="20" hidden="1">#REF!</definedName>
    <definedName name="BExSA5HP306TN9XJS0TU619DLRR7" hidden="1">#REF!</definedName>
    <definedName name="BExSA6U57AKWU3K9W6DLF75569X0" localSheetId="20" hidden="1">#REF!</definedName>
    <definedName name="BExSA6U57AKWU3K9W6DLF75569X0" hidden="1">#REF!</definedName>
    <definedName name="BExSA8HLXG7TQJAREJXZWXCKKLYT" localSheetId="20" hidden="1">#REF!</definedName>
    <definedName name="BExSA8HLXG7TQJAREJXZWXCKKLYT" hidden="1">#REF!</definedName>
    <definedName name="BExSAAVWQOOIA6B3JHQVGP08HFEM" localSheetId="20" hidden="1">#REF!</definedName>
    <definedName name="BExSAAVWQOOIA6B3JHQVGP08HFEM" hidden="1">#REF!</definedName>
    <definedName name="BExSAFJ3IICU2M7QPVE4ARYMXZKX" localSheetId="20" hidden="1">#REF!</definedName>
    <definedName name="BExSAFJ3IICU2M7QPVE4ARYMXZKX" hidden="1">#REF!</definedName>
    <definedName name="BExSAH6ID8OHX379UXVNGFO8J6KQ" localSheetId="20" hidden="1">#REF!</definedName>
    <definedName name="BExSAH6ID8OHX379UXVNGFO8J6KQ" hidden="1">#REF!</definedName>
    <definedName name="BExSAQBHIXGQRNIRGCJMBXUPCZQA" localSheetId="20" hidden="1">#REF!</definedName>
    <definedName name="BExSAQBHIXGQRNIRGCJMBXUPCZQA" hidden="1">#REF!</definedName>
    <definedName name="BExSAUTCT4P7JP57NOR9MTX33QJZ" localSheetId="20" hidden="1">#REF!</definedName>
    <definedName name="BExSAUTCT4P7JP57NOR9MTX33QJZ" hidden="1">#REF!</definedName>
    <definedName name="BExSAY9CA9TFXQ9M9FBJRGJO9T9E" localSheetId="20" hidden="1">#REF!</definedName>
    <definedName name="BExSAY9CA9TFXQ9M9FBJRGJO9T9E" hidden="1">#REF!</definedName>
    <definedName name="BExSB3CYILY5VM7EWWCYC2RHW5GS" localSheetId="20" hidden="1">'[38]10.08.3 - 2008 Expense - TDBU'!#REF!</definedName>
    <definedName name="BExSB3CYILY5VM7EWWCYC2RHW5GS" hidden="1">'[38]10.08.3 - 2008 Expense - TDBU'!#REF!</definedName>
    <definedName name="BExSB4JYKQ3MINI7RAYK5M8BLJDC" localSheetId="15" hidden="1">#REF!</definedName>
    <definedName name="BExSB4JYKQ3MINI7RAYK5M8BLJDC" localSheetId="16" hidden="1">#REF!</definedName>
    <definedName name="BExSB4JYKQ3MINI7RAYK5M8BLJDC" localSheetId="20" hidden="1">#REF!</definedName>
    <definedName name="BExSB4JYKQ3MINI7RAYK5M8BLJDC" hidden="1">#REF!</definedName>
    <definedName name="BExSB6NLRVUI2GHH9VI5V6MY8ZL7" localSheetId="20" hidden="1">#REF!</definedName>
    <definedName name="BExSB6NLRVUI2GHH9VI5V6MY8ZL7" hidden="1">#REF!</definedName>
    <definedName name="BExSBMOS41ZRLWYLOU29V6Y7YORR" localSheetId="20" hidden="1">#REF!</definedName>
    <definedName name="BExSBMOS41ZRLWYLOU29V6Y7YORR" hidden="1">#REF!</definedName>
    <definedName name="BExSBRBXXQMBU1TYDW1BXTEVEPRU" localSheetId="20" hidden="1">#REF!</definedName>
    <definedName name="BExSBRBXXQMBU1TYDW1BXTEVEPRU" hidden="1">#REF!</definedName>
    <definedName name="BExSC54998WTZ21DSL0R8UN0Y9JH" localSheetId="20" hidden="1">#REF!</definedName>
    <definedName name="BExSC54998WTZ21DSL0R8UN0Y9JH" hidden="1">#REF!</definedName>
    <definedName name="BExSC60N7WR9PJSNC9B7ORCX9NGY" localSheetId="20" hidden="1">#REF!</definedName>
    <definedName name="BExSC60N7WR9PJSNC9B7ORCX9NGY" hidden="1">#REF!</definedName>
    <definedName name="BExSCE99EZTILTTCE4NJJF96OYYM" localSheetId="20" hidden="1">#REF!</definedName>
    <definedName name="BExSCE99EZTILTTCE4NJJF96OYYM" hidden="1">#REF!</definedName>
    <definedName name="BExSCHUQZ2HFEWS54X67DIS8OSXZ" localSheetId="20" hidden="1">#REF!</definedName>
    <definedName name="BExSCHUQZ2HFEWS54X67DIS8OSXZ" hidden="1">#REF!</definedName>
    <definedName name="BExSCOG41SKKG4GYU76WRWW1CTE6" localSheetId="20" hidden="1">#REF!</definedName>
    <definedName name="BExSCOG41SKKG4GYU76WRWW1CTE6" hidden="1">#REF!</definedName>
    <definedName name="BExSCPN9MLJYMCCD3AD6AGFMBBGA" localSheetId="20" hidden="1">#REF!</definedName>
    <definedName name="BExSCPN9MLJYMCCD3AD6AGFMBBGA" hidden="1">#REF!</definedName>
    <definedName name="BExSCVC9P86YVFMRKKUVRV29MZXZ" localSheetId="20" hidden="1">#REF!</definedName>
    <definedName name="BExSCVC9P86YVFMRKKUVRV29MZXZ" hidden="1">#REF!</definedName>
    <definedName name="BExSD233CH4MU9ZMGNRF97ZV7KWU" localSheetId="20" hidden="1">#REF!</definedName>
    <definedName name="BExSD233CH4MU9ZMGNRF97ZV7KWU" hidden="1">#REF!</definedName>
    <definedName name="BExSD2U0F3BN6IN9N4R2DTTJG15H" localSheetId="20" hidden="1">#REF!</definedName>
    <definedName name="BExSD2U0F3BN6IN9N4R2DTTJG15H" hidden="1">#REF!</definedName>
    <definedName name="BExSD6A6NY15YSMFH51ST6XJY429" localSheetId="20" hidden="1">#REF!</definedName>
    <definedName name="BExSD6A6NY15YSMFH51ST6XJY429" hidden="1">#REF!</definedName>
    <definedName name="BExSD9VH6PF6RQ135VOEE08YXPAW" localSheetId="20" hidden="1">#REF!</definedName>
    <definedName name="BExSD9VH6PF6RQ135VOEE08YXPAW" hidden="1">#REF!</definedName>
    <definedName name="BExSDP5Y04WWMX2WWRITWOX8R5I9" localSheetId="20" hidden="1">#REF!</definedName>
    <definedName name="BExSDP5Y04WWMX2WWRITWOX8R5I9" hidden="1">#REF!</definedName>
    <definedName name="BExSDSB5WUA2A09DZ1ZPZH3J8VFL" localSheetId="20" hidden="1">#REF!</definedName>
    <definedName name="BExSDSB5WUA2A09DZ1ZPZH3J8VFL" hidden="1">#REF!</definedName>
    <definedName name="BExSDSGM203BJTNS9MKCBX453HMD" localSheetId="20" hidden="1">#REF!</definedName>
    <definedName name="BExSDSGM203BJTNS9MKCBX453HMD" hidden="1">#REF!</definedName>
    <definedName name="BExSDT20XUFXTDM37M148AXAP7HN" localSheetId="20" hidden="1">#REF!</definedName>
    <definedName name="BExSDT20XUFXTDM37M148AXAP7HN" hidden="1">#REF!</definedName>
    <definedName name="BExSEEHK1VLWD7JBV9SVVVIKQZ3I" localSheetId="20" hidden="1">#REF!</definedName>
    <definedName name="BExSEEHK1VLWD7JBV9SVVVIKQZ3I" hidden="1">#REF!</definedName>
    <definedName name="BExSEJKZLX37P3V33TRTFJ30BFRK" localSheetId="20" hidden="1">#REF!</definedName>
    <definedName name="BExSEJKZLX37P3V33TRTFJ30BFRK" hidden="1">#REF!</definedName>
    <definedName name="BExSENBSLP026IKXG2AS0SKST99F" localSheetId="20" hidden="1">#REF!</definedName>
    <definedName name="BExSENBSLP026IKXG2AS0SKST99F" hidden="1">#REF!</definedName>
    <definedName name="BExSEP9UVOAI6TMXKNK587PQ3328" localSheetId="20" hidden="1">#REF!</definedName>
    <definedName name="BExSEP9UVOAI6TMXKNK587PQ3328" hidden="1">#REF!</definedName>
    <definedName name="BExSERZ34ETZF8OI93MYIVZX4RDV" localSheetId="20" hidden="1">#REF!</definedName>
    <definedName name="BExSERZ34ETZF8OI93MYIVZX4RDV" hidden="1">#REF!</definedName>
    <definedName name="BExSF07QFLZCO4P6K6QF05XG7PH1" localSheetId="20" hidden="1">#REF!</definedName>
    <definedName name="BExSF07QFLZCO4P6K6QF05XG7PH1" hidden="1">#REF!</definedName>
    <definedName name="BExSF85QVM8XVOYH429ITJC8TA5Q" localSheetId="20" hidden="1">#REF!</definedName>
    <definedName name="BExSF85QVM8XVOYH429ITJC8TA5Q" hidden="1">#REF!</definedName>
    <definedName name="BExSFELNPJYUZX393PKWKNNZYV1N" localSheetId="20" hidden="1">#REF!</definedName>
    <definedName name="BExSFELNPJYUZX393PKWKNNZYV1N" hidden="1">#REF!</definedName>
    <definedName name="BExSFHAQ0VN5PU9GULAPYTQ4HKW8" localSheetId="20" hidden="1">#REF!</definedName>
    <definedName name="BExSFHAQ0VN5PU9GULAPYTQ4HKW8" hidden="1">#REF!</definedName>
    <definedName name="BExSFIY63CMZLHHLQETZ2HFOHW52" localSheetId="20" hidden="1">#REF!</definedName>
    <definedName name="BExSFIY63CMZLHHLQETZ2HFOHW52" hidden="1">#REF!</definedName>
    <definedName name="BExSFJ8ZAGQ63A4MVMZRQWLVRGQ5" localSheetId="20" hidden="1">#REF!</definedName>
    <definedName name="BExSFJ8ZAGQ63A4MVMZRQWLVRGQ5" hidden="1">#REF!</definedName>
    <definedName name="BExSFKQRST2S9KXWWLCXYLKSF4G1" localSheetId="20" hidden="1">#REF!</definedName>
    <definedName name="BExSFKQRST2S9KXWWLCXYLKSF4G1" hidden="1">#REF!</definedName>
    <definedName name="BExSFLHT3DWP12GA4DDKMCK3E4F9" localSheetId="20" hidden="1">'[38]10.08.2 - 2008 Expense'!#REF!</definedName>
    <definedName name="BExSFLHT3DWP12GA4DDKMCK3E4F9" hidden="1">'[38]10.08.2 - 2008 Expense'!#REF!</definedName>
    <definedName name="BExSFYDRRTAZVPXRWUF5PDQ97WFF" localSheetId="15" hidden="1">#REF!</definedName>
    <definedName name="BExSFYDRRTAZVPXRWUF5PDQ97WFF" localSheetId="16" hidden="1">#REF!</definedName>
    <definedName name="BExSFYDRRTAZVPXRWUF5PDQ97WFF" localSheetId="20" hidden="1">#REF!</definedName>
    <definedName name="BExSFYDRRTAZVPXRWUF5PDQ97WFF" hidden="1">#REF!</definedName>
    <definedName name="BExSFZVPFTXA3F0IJ2NGH1GXX9R7" localSheetId="20" hidden="1">#REF!</definedName>
    <definedName name="BExSFZVPFTXA3F0IJ2NGH1GXX9R7" hidden="1">#REF!</definedName>
    <definedName name="BExSG90Q4ZUU2IPGDYOM169NJV9S" localSheetId="20" hidden="1">#REF!</definedName>
    <definedName name="BExSG90Q4ZUU2IPGDYOM169NJV9S" hidden="1">#REF!</definedName>
    <definedName name="BExSG9X3DU845PNXYJGGLBQY2UHG" localSheetId="20" hidden="1">#REF!</definedName>
    <definedName name="BExSG9X3DU845PNXYJGGLBQY2UHG" hidden="1">#REF!</definedName>
    <definedName name="BExSGE45J27MDUUNXW7Z8Q33UAON" localSheetId="20" hidden="1">#REF!</definedName>
    <definedName name="BExSGE45J27MDUUNXW7Z8Q33UAON" hidden="1">#REF!</definedName>
    <definedName name="BExSGE9LY91Q0URHB4YAMX0UAMYI" localSheetId="20" hidden="1">#REF!</definedName>
    <definedName name="BExSGE9LY91Q0URHB4YAMX0UAMYI" hidden="1">#REF!</definedName>
    <definedName name="BExSGEPODWLV8HDBVY76N01S70YZ" localSheetId="20" hidden="1">#REF!</definedName>
    <definedName name="BExSGEPODWLV8HDBVY76N01S70YZ" hidden="1">#REF!</definedName>
    <definedName name="BExSGLB2URTLBCKBB4Y885W925F2" localSheetId="20" hidden="1">#REF!</definedName>
    <definedName name="BExSGLB2URTLBCKBB4Y885W925F2" hidden="1">#REF!</definedName>
    <definedName name="BExSGOAYG73SFWOPAQV80P710GID" localSheetId="20" hidden="1">#REF!</definedName>
    <definedName name="BExSGOAYG73SFWOPAQV80P710GID" hidden="1">#REF!</definedName>
    <definedName name="BExSGOWJHRW7FWKLO2EHUOOGHNAF" localSheetId="20" hidden="1">#REF!</definedName>
    <definedName name="BExSGOWJHRW7FWKLO2EHUOOGHNAF" hidden="1">#REF!</definedName>
    <definedName name="BExSGOWJTAP41ZV5Q23H7MI9C76W" localSheetId="20" hidden="1">#REF!</definedName>
    <definedName name="BExSGOWJTAP41ZV5Q23H7MI9C76W" hidden="1">#REF!</definedName>
    <definedName name="BExSGP7BU5UM9A7AOHIGT50GZN74" localSheetId="20" hidden="1">'[38]10.08.2 - 2008 Expense'!#REF!</definedName>
    <definedName name="BExSGP7BU5UM9A7AOHIGT50GZN74" hidden="1">'[38]10.08.2 - 2008 Expense'!#REF!</definedName>
    <definedName name="BExSGR5JQVX2HQ0PKCGZNSSUM1RV" localSheetId="15" hidden="1">#REF!</definedName>
    <definedName name="BExSGR5JQVX2HQ0PKCGZNSSUM1RV" localSheetId="16" hidden="1">#REF!</definedName>
    <definedName name="BExSGR5JQVX2HQ0PKCGZNSSUM1RV" localSheetId="20" hidden="1">#REF!</definedName>
    <definedName name="BExSGR5JQVX2HQ0PKCGZNSSUM1RV" hidden="1">#REF!</definedName>
    <definedName name="BExSGVHX69GJZHD99DKE4RZ042B1" localSheetId="20" hidden="1">#REF!</definedName>
    <definedName name="BExSGVHX69GJZHD99DKE4RZ042B1" hidden="1">#REF!</definedName>
    <definedName name="BExSGZJO4J4ZO04E2N2ECVYS9DEZ" localSheetId="20" hidden="1">#REF!</definedName>
    <definedName name="BExSGZJO4J4ZO04E2N2ECVYS9DEZ" hidden="1">#REF!</definedName>
    <definedName name="BExSHAHFHS7MMNJR8JPVABRGBVIT" localSheetId="20" hidden="1">#REF!</definedName>
    <definedName name="BExSHAHFHS7MMNJR8JPVABRGBVIT" hidden="1">#REF!</definedName>
    <definedName name="BExSHFA0PJ5TS0LF5C5VDPKMSUP8" localSheetId="20" hidden="1">#REF!</definedName>
    <definedName name="BExSHFA0PJ5TS0LF5C5VDPKMSUP8" hidden="1">#REF!</definedName>
    <definedName name="BExSHGH88QZWW4RNAX4YKAZ5JEBL" localSheetId="20" hidden="1">#REF!</definedName>
    <definedName name="BExSHGH88QZWW4RNAX4YKAZ5JEBL" hidden="1">#REF!</definedName>
    <definedName name="BExSHOKK1OO3CX9Z28C58E5J1D9W" localSheetId="20" hidden="1">#REF!</definedName>
    <definedName name="BExSHOKK1OO3CX9Z28C58E5J1D9W" hidden="1">#REF!</definedName>
    <definedName name="BExSHQD8KYLTQGDXIRKCHQQ7MKIH" localSheetId="20" hidden="1">#REF!</definedName>
    <definedName name="BExSHQD8KYLTQGDXIRKCHQQ7MKIH" hidden="1">#REF!</definedName>
    <definedName name="BExSHVGPIAHXI97UBLI9G4I4M29F" localSheetId="20" hidden="1">#REF!</definedName>
    <definedName name="BExSHVGPIAHXI97UBLI9G4I4M29F" hidden="1">#REF!</definedName>
    <definedName name="BExSHVRHZDFJHSWEWWYO8PK8UC27" localSheetId="20" hidden="1">#REF!</definedName>
    <definedName name="BExSHVRHZDFJHSWEWWYO8PK8UC27" hidden="1">#REF!</definedName>
    <definedName name="BExSI0K2YL3HTCQAD8A7TR4QCUR6" localSheetId="20" hidden="1">#REF!</definedName>
    <definedName name="BExSI0K2YL3HTCQAD8A7TR4QCUR6" hidden="1">#REF!</definedName>
    <definedName name="BExSIFUDNRWXWIWNGCCFOOD8WIAZ" localSheetId="20" hidden="1">#REF!</definedName>
    <definedName name="BExSIFUDNRWXWIWNGCCFOOD8WIAZ" hidden="1">#REF!</definedName>
    <definedName name="BExTTWD2PGX3Y9FR5F2MRNLY1DIY" localSheetId="20" hidden="1">#REF!</definedName>
    <definedName name="BExTTWD2PGX3Y9FR5F2MRNLY1DIY" hidden="1">#REF!</definedName>
    <definedName name="BExTTZNS2PBCR93C9IUW49UZ4I6T" localSheetId="20" hidden="1">#REF!</definedName>
    <definedName name="BExTTZNS2PBCR93C9IUW49UZ4I6T" hidden="1">#REF!</definedName>
    <definedName name="BExTU2YFQ25JQ6MEMRHHN66VLTPJ" localSheetId="20" hidden="1">#REF!</definedName>
    <definedName name="BExTU2YFQ25JQ6MEMRHHN66VLTPJ" hidden="1">#REF!</definedName>
    <definedName name="BExTU75IOII1V5O0C9X2VAYYVJUG" localSheetId="20" hidden="1">#REF!</definedName>
    <definedName name="BExTU75IOII1V5O0C9X2VAYYVJUG" hidden="1">#REF!</definedName>
    <definedName name="BExTUA5F7V4LUIIAM17J3A8XF3JE" localSheetId="20" hidden="1">#REF!</definedName>
    <definedName name="BExTUA5F7V4LUIIAM17J3A8XF3JE" hidden="1">#REF!</definedName>
    <definedName name="BExTUJ53ANGZ3H1KDK4CR4Q0OD6P" localSheetId="20" hidden="1">#REF!</definedName>
    <definedName name="BExTUJ53ANGZ3H1KDK4CR4Q0OD6P" hidden="1">#REF!</definedName>
    <definedName name="BExTUKXSZBM7C57G6NGLWGU4WOHY" localSheetId="20" hidden="1">#REF!</definedName>
    <definedName name="BExTUKXSZBM7C57G6NGLWGU4WOHY" hidden="1">#REF!</definedName>
    <definedName name="BExTUSQCFFYZCDNHWHADBC2E1ZP1" localSheetId="20" hidden="1">#REF!</definedName>
    <definedName name="BExTUSQCFFYZCDNHWHADBC2E1ZP1" hidden="1">#REF!</definedName>
    <definedName name="BExTUVFGOJEYS28JURA5KHQFDU5J" localSheetId="20" hidden="1">#REF!</definedName>
    <definedName name="BExTUVFGOJEYS28JURA5KHQFDU5J" hidden="1">#REF!</definedName>
    <definedName name="BExTUW10U40QCYGHM5NJ3YR1O5SP" localSheetId="20" hidden="1">#REF!</definedName>
    <definedName name="BExTUW10U40QCYGHM5NJ3YR1O5SP" hidden="1">#REF!</definedName>
    <definedName name="BExTUWXFQHINU66YG82BI20ATMB5" localSheetId="20" hidden="1">#REF!</definedName>
    <definedName name="BExTUWXFQHINU66YG82BI20ATMB5" hidden="1">#REF!</definedName>
    <definedName name="BExTUY9WNSJ91GV8CP0SKJTEIV82" localSheetId="20" hidden="1">[39]Table!#REF!</definedName>
    <definedName name="BExTUY9WNSJ91GV8CP0SKJTEIV82" hidden="1">[39]Table!#REF!</definedName>
    <definedName name="BExTV67VIM8PV6KO253M4DUBJQLC" localSheetId="15" hidden="1">#REF!</definedName>
    <definedName name="BExTV67VIM8PV6KO253M4DUBJQLC" localSheetId="16" hidden="1">#REF!</definedName>
    <definedName name="BExTV67VIM8PV6KO253M4DUBJQLC" localSheetId="20" hidden="1">#REF!</definedName>
    <definedName name="BExTV67VIM8PV6KO253M4DUBJQLC" hidden="1">#REF!</definedName>
    <definedName name="BExTVELZCF2YA5L6F23BYZZR6WHF" localSheetId="20" hidden="1">#REF!</definedName>
    <definedName name="BExTVELZCF2YA5L6F23BYZZR6WHF" hidden="1">#REF!</definedName>
    <definedName name="BExTVGPIQZ99YFXUC8OONUX5BD42" localSheetId="20" hidden="1">#REF!</definedName>
    <definedName name="BExTVGPIQZ99YFXUC8OONUX5BD42" hidden="1">#REF!</definedName>
    <definedName name="BExTVLNG9KX2WVJZRHW6SQVAV80G" localSheetId="20" hidden="1">#REF!</definedName>
    <definedName name="BExTVLNG9KX2WVJZRHW6SQVAV80G" hidden="1">#REF!</definedName>
    <definedName name="BExTVOSUIF74AWLLP1Y2PW2T8R4L" localSheetId="20" hidden="1">#REF!</definedName>
    <definedName name="BExTVOSUIF74AWLLP1Y2PW2T8R4L" hidden="1">#REF!</definedName>
    <definedName name="BExTVYE49EIPTW7ZG5F30RHCYXWI" localSheetId="20" hidden="1">#REF!</definedName>
    <definedName name="BExTVYE49EIPTW7ZG5F30RHCYXWI" hidden="1">#REF!</definedName>
    <definedName name="BExTVZQLP9VFLEYQ9280W13X7E8K" localSheetId="20" hidden="1">#REF!</definedName>
    <definedName name="BExTVZQLP9VFLEYQ9280W13X7E8K" hidden="1">#REF!</definedName>
    <definedName name="BExTW4U1EFP1ZS3Q099D6OFYZ4PO" localSheetId="20" hidden="1">#REF!</definedName>
    <definedName name="BExTW4U1EFP1ZS3Q099D6OFYZ4PO" hidden="1">#REF!</definedName>
    <definedName name="BExTWB4LA1PODQOH4LDTHQKBN16K" localSheetId="20" hidden="1">#REF!</definedName>
    <definedName name="BExTWB4LA1PODQOH4LDTHQKBN16K" hidden="1">#REF!</definedName>
    <definedName name="BExTWEQ3PHIFDCWHG4QVX0626J8L" localSheetId="20" hidden="1">#REF!</definedName>
    <definedName name="BExTWEQ3PHIFDCWHG4QVX0626J8L" hidden="1">#REF!</definedName>
    <definedName name="BExTWFMEUL2NCM0LIAELE18IZ3TQ" localSheetId="20" hidden="1">#REF!</definedName>
    <definedName name="BExTWFMEUL2NCM0LIAELE18IZ3TQ" hidden="1">#REF!</definedName>
    <definedName name="BExTWH9QHMKXVF1R0QG6TJ2154QV" localSheetId="20" hidden="1">#REF!</definedName>
    <definedName name="BExTWH9QHMKXVF1R0QG6TJ2154QV" hidden="1">#REF!</definedName>
    <definedName name="BExTWHVADLJCCNEWMD928MM0SUBX" localSheetId="20" hidden="1">#REF!</definedName>
    <definedName name="BExTWHVADLJCCNEWMD928MM0SUBX" hidden="1">#REF!</definedName>
    <definedName name="BExTWI0Q8AWXUA3ZN7I5V3QK2KM1" localSheetId="20" hidden="1">#REF!</definedName>
    <definedName name="BExTWI0Q8AWXUA3ZN7I5V3QK2KM1" hidden="1">#REF!</definedName>
    <definedName name="BExTWJTIA3WUW1PUWXAOP9O8NKLZ" localSheetId="20" hidden="1">#REF!</definedName>
    <definedName name="BExTWJTIA3WUW1PUWXAOP9O8NKLZ" hidden="1">#REF!</definedName>
    <definedName name="BExTWP7ODVVVOXUAS0T4KNY9E7XN" localSheetId="20" hidden="1">#REF!</definedName>
    <definedName name="BExTWP7ODVVVOXUAS0T4KNY9E7XN" hidden="1">#REF!</definedName>
    <definedName name="BExTWTEREH1W943SZJSXS6AZCXLO" localSheetId="20" hidden="1">#REF!</definedName>
    <definedName name="BExTWTEREH1W943SZJSXS6AZCXLO" hidden="1">#REF!</definedName>
    <definedName name="BExTWW95OX07FNA01WF5MSSSFQLX" localSheetId="20" hidden="1">#REF!</definedName>
    <definedName name="BExTWW95OX07FNA01WF5MSSSFQLX" hidden="1">#REF!</definedName>
    <definedName name="BExTX476KI0RNB71XI5TYMANSGBG" localSheetId="20" hidden="1">#REF!</definedName>
    <definedName name="BExTX476KI0RNB71XI5TYMANSGBG" hidden="1">#REF!</definedName>
    <definedName name="BExTXFQI2GZRV54ZHPCYUHMPUDGG" localSheetId="20" hidden="1">#REF!</definedName>
    <definedName name="BExTXFQI2GZRV54ZHPCYUHMPUDGG" hidden="1">#REF!</definedName>
    <definedName name="BExTXJ6HBAIXMMWKZTJNFDYVZCAY" localSheetId="20" hidden="1">#REF!</definedName>
    <definedName name="BExTXJ6HBAIXMMWKZTJNFDYVZCAY" hidden="1">#REF!</definedName>
    <definedName name="BExTXT812NQT8GAEGH738U29BI0D" localSheetId="20" hidden="1">#REF!</definedName>
    <definedName name="BExTXT812NQT8GAEGH738U29BI0D" hidden="1">#REF!</definedName>
    <definedName name="BExTXWIP2TFPTQ76NHFOB72NICRZ" localSheetId="20" hidden="1">#REF!</definedName>
    <definedName name="BExTXWIP2TFPTQ76NHFOB72NICRZ" hidden="1">#REF!</definedName>
    <definedName name="BExTXZ7U13BQKYC9T78TWXRCE6L6" localSheetId="20" hidden="1">#REF!</definedName>
    <definedName name="BExTXZ7U13BQKYC9T78TWXRCE6L6" hidden="1">#REF!</definedName>
    <definedName name="BExTY5T62H651VC86QM4X7E28JVA" localSheetId="20" hidden="1">#REF!</definedName>
    <definedName name="BExTY5T62H651VC86QM4X7E28JVA" hidden="1">#REF!</definedName>
    <definedName name="BExTYHCJJ2NWRM1RV59FYR41534U" localSheetId="20" hidden="1">#REF!</definedName>
    <definedName name="BExTYHCJJ2NWRM1RV59FYR41534U" hidden="1">#REF!</definedName>
    <definedName name="BExTYKCEFJ83LZM95M1V7CSFQVEA" localSheetId="20" hidden="1">#REF!</definedName>
    <definedName name="BExTYKCEFJ83LZM95M1V7CSFQVEA" hidden="1">#REF!</definedName>
    <definedName name="BExTYL3GR8LX1FWLOOBTAZQOOO7D" localSheetId="20" hidden="1">'[38]10.08.4 -2008 Capital'!#REF!</definedName>
    <definedName name="BExTYL3GR8LX1FWLOOBTAZQOOO7D" hidden="1">'[38]10.08.4 -2008 Capital'!#REF!</definedName>
    <definedName name="BExTYLUCLWGGQOEPH6W91DIYL3RQ" localSheetId="15" hidden="1">#REF!</definedName>
    <definedName name="BExTYLUCLWGGQOEPH6W91DIYL3RQ" localSheetId="16" hidden="1">#REF!</definedName>
    <definedName name="BExTYLUCLWGGQOEPH6W91DIYL3RQ" localSheetId="20" hidden="1">#REF!</definedName>
    <definedName name="BExTYLUCLWGGQOEPH6W91DIYL3RQ" hidden="1">#REF!</definedName>
    <definedName name="BExTYOZQGNRDMMFZOG8515WQDGU3" localSheetId="15" hidden="1">'[38]10.08.5 - 2008 Capital - TDBU'!#REF!</definedName>
    <definedName name="BExTYOZQGNRDMMFZOG8515WQDGU3" localSheetId="16" hidden="1">'[38]10.08.5 - 2008 Capital - TDBU'!#REF!</definedName>
    <definedName name="BExTYOZQGNRDMMFZOG8515WQDGU3" localSheetId="20" hidden="1">'[38]10.08.5 - 2008 Capital - TDBU'!#REF!</definedName>
    <definedName name="BExTYOZQGNRDMMFZOG8515WQDGU3" hidden="1">'[38]10.08.5 - 2008 Capital - TDBU'!#REF!</definedName>
    <definedName name="BExTYPLA9N640MFRJJQPKXT7P88M" localSheetId="15" hidden="1">#REF!</definedName>
    <definedName name="BExTYPLA9N640MFRJJQPKXT7P88M" localSheetId="16" hidden="1">#REF!</definedName>
    <definedName name="BExTYPLA9N640MFRJJQPKXT7P88M" localSheetId="20" hidden="1">#REF!</definedName>
    <definedName name="BExTYPLA9N640MFRJJQPKXT7P88M" hidden="1">#REF!</definedName>
    <definedName name="BExTYQMZFH06S0SMRP98OBQF34G8" localSheetId="20" hidden="1">#REF!</definedName>
    <definedName name="BExTYQMZFH06S0SMRP98OBQF34G8" hidden="1">#REF!</definedName>
    <definedName name="BExTZ7F71SNTOX4LLZCK5R9VUMIJ" localSheetId="20" hidden="1">#REF!</definedName>
    <definedName name="BExTZ7F71SNTOX4LLZCK5R9VUMIJ" hidden="1">#REF!</definedName>
    <definedName name="BExTZ8GX3F0K1UBDQ5Y9BYXK1Z6F" localSheetId="20" hidden="1">#REF!</definedName>
    <definedName name="BExTZ8GX3F0K1UBDQ5Y9BYXK1Z6F" hidden="1">#REF!</definedName>
    <definedName name="BExTZ8X5G9S3PA4FPSNK7T69W7QT" localSheetId="20" hidden="1">#REF!</definedName>
    <definedName name="BExTZ8X5G9S3PA4FPSNK7T69W7QT" hidden="1">#REF!</definedName>
    <definedName name="BExTZ97Y0RMR8V5BI9F2H4MFB77O" localSheetId="20" hidden="1">#REF!</definedName>
    <definedName name="BExTZ97Y0RMR8V5BI9F2H4MFB77O" hidden="1">#REF!</definedName>
    <definedName name="BExTZ97YR84DZ8QVX5145UPYSRH1" localSheetId="20" hidden="1">#REF!</definedName>
    <definedName name="BExTZ97YR84DZ8QVX5145UPYSRH1" hidden="1">#REF!</definedName>
    <definedName name="BExTZK5PMCAXJL4DUIGL6H9Y8U4C" localSheetId="20" hidden="1">#REF!</definedName>
    <definedName name="BExTZK5PMCAXJL4DUIGL6H9Y8U4C" hidden="1">#REF!</definedName>
    <definedName name="BExTZKB6L5SXV5UN71YVTCBEIGWY" localSheetId="20" hidden="1">#REF!</definedName>
    <definedName name="BExTZKB6L5SXV5UN71YVTCBEIGWY" hidden="1">#REF!</definedName>
    <definedName name="BExTZLICVKK4NBJFEGL270GJ2VQO" localSheetId="20" hidden="1">#REF!</definedName>
    <definedName name="BExTZLICVKK4NBJFEGL270GJ2VQO" hidden="1">#REF!</definedName>
    <definedName name="BExTZO2596CBZKPI7YNA1QQNPAIJ" localSheetId="20" hidden="1">#REF!</definedName>
    <definedName name="BExTZO2596CBZKPI7YNA1QQNPAIJ" hidden="1">#REF!</definedName>
    <definedName name="BExTZY8TDV4U7FQL7O10G6VKWKPJ" localSheetId="20" hidden="1">#REF!</definedName>
    <definedName name="BExTZY8TDV4U7FQL7O10G6VKWKPJ" hidden="1">#REF!</definedName>
    <definedName name="BExU02QNT4LT7H9JPUC4FXTLVGZT" localSheetId="20" hidden="1">#REF!</definedName>
    <definedName name="BExU02QNT4LT7H9JPUC4FXTLVGZT" hidden="1">#REF!</definedName>
    <definedName name="BExU0BFJJQO1HJZKI14QGOQ6JROO" localSheetId="20" hidden="1">#REF!</definedName>
    <definedName name="BExU0BFJJQO1HJZKI14QGOQ6JROO" hidden="1">#REF!</definedName>
    <definedName name="BExU0BFKP4UL0TQC5B09T8C2BO3W" localSheetId="20" hidden="1">#REF!</definedName>
    <definedName name="BExU0BFKP4UL0TQC5B09T8C2BO3W" hidden="1">#REF!</definedName>
    <definedName name="BExU0CXIZZF3DKCNKF3AHXAPONZC" localSheetId="20" hidden="1">#REF!</definedName>
    <definedName name="BExU0CXIZZF3DKCNKF3AHXAPONZC" hidden="1">#REF!</definedName>
    <definedName name="BExU0FH5WTGW8MRFUFMDDSMJ6YQ5" localSheetId="20" hidden="1">#REF!</definedName>
    <definedName name="BExU0FH5WTGW8MRFUFMDDSMJ6YQ5" hidden="1">#REF!</definedName>
    <definedName name="BExU0GDOIL9U33QGU9ZU3YX3V1I4" localSheetId="20" hidden="1">#REF!</definedName>
    <definedName name="BExU0GDOIL9U33QGU9ZU3YX3V1I4" hidden="1">#REF!</definedName>
    <definedName name="BExU0HKTO8WJDQDWRTUK5TETM3HS" localSheetId="20" hidden="1">#REF!</definedName>
    <definedName name="BExU0HKTO8WJDQDWRTUK5TETM3HS" hidden="1">#REF!</definedName>
    <definedName name="BExU0MTJQPE041ZN7H8UKGV6MZT7" localSheetId="20" hidden="1">#REF!</definedName>
    <definedName name="BExU0MTJQPE041ZN7H8UKGV6MZT7" hidden="1">#REF!</definedName>
    <definedName name="BExU0XB6XCXI4SZ92YEUFMW4TAXF" localSheetId="20" hidden="1">#REF!</definedName>
    <definedName name="BExU0XB6XCXI4SZ92YEUFMW4TAXF" hidden="1">#REF!</definedName>
    <definedName name="BExU0ZUUFYHLUK4M4E8GLGIBBNT0" localSheetId="20" hidden="1">#REF!</definedName>
    <definedName name="BExU0ZUUFYHLUK4M4E8GLGIBBNT0" hidden="1">#REF!</definedName>
    <definedName name="BExU147D6RPG6ZVTSXRKFSVRHSBG" localSheetId="20" hidden="1">#REF!</definedName>
    <definedName name="BExU147D6RPG6ZVTSXRKFSVRHSBG" hidden="1">#REF!</definedName>
    <definedName name="BExU16R10W1SOAPNG4CDJ01T7JRE" localSheetId="20" hidden="1">#REF!</definedName>
    <definedName name="BExU16R10W1SOAPNG4CDJ01T7JRE" hidden="1">#REF!</definedName>
    <definedName name="BExU17CKOR3GNIHDNVLH9L1IOJS9" localSheetId="20" hidden="1">#REF!</definedName>
    <definedName name="BExU17CKOR3GNIHDNVLH9L1IOJS9" hidden="1">#REF!</definedName>
    <definedName name="BExU1DHV15JIOYOXDDJLCPQWUF8Y" localSheetId="20" hidden="1">#REF!</definedName>
    <definedName name="BExU1DHV15JIOYOXDDJLCPQWUF8Y" hidden="1">#REF!</definedName>
    <definedName name="BExU1GXUTLRPJN4MRINLAPHSZQFG" localSheetId="20" hidden="1">#REF!</definedName>
    <definedName name="BExU1GXUTLRPJN4MRINLAPHSZQFG" hidden="1">#REF!</definedName>
    <definedName name="BExU1IL9AOHFO85BZB6S60DK3N8H" localSheetId="20" hidden="1">#REF!</definedName>
    <definedName name="BExU1IL9AOHFO85BZB6S60DK3N8H" hidden="1">#REF!</definedName>
    <definedName name="BExU1NOPS09CLFZL1O31RAF9BQNQ" localSheetId="20" hidden="1">#REF!</definedName>
    <definedName name="BExU1NOPS09CLFZL1O31RAF9BQNQ" hidden="1">#REF!</definedName>
    <definedName name="BExU1P6H60U4RWZFX1HYXV8Z6KI7" localSheetId="20" hidden="1">#REF!</definedName>
    <definedName name="BExU1P6H60U4RWZFX1HYXV8Z6KI7" hidden="1">#REF!</definedName>
    <definedName name="BExU1PH9MOEX1JZVZ3D5M9DXB191" localSheetId="20" hidden="1">#REF!</definedName>
    <definedName name="BExU1PH9MOEX1JZVZ3D5M9DXB191" hidden="1">#REF!</definedName>
    <definedName name="BExU1QZEEKJA35IMEOLOJ3ODX0ZA" localSheetId="20" hidden="1">#REF!</definedName>
    <definedName name="BExU1QZEEKJA35IMEOLOJ3ODX0ZA" hidden="1">#REF!</definedName>
    <definedName name="BExU1VRURIWWVJ95O40WA23LMTJD" localSheetId="20" hidden="1">#REF!</definedName>
    <definedName name="BExU1VRURIWWVJ95O40WA23LMTJD" hidden="1">#REF!</definedName>
    <definedName name="BExU24M8MKBQNO1RXU0IQ2PBN3F1" localSheetId="20" hidden="1">#REF!</definedName>
    <definedName name="BExU24M8MKBQNO1RXU0IQ2PBN3F1" hidden="1">#REF!</definedName>
    <definedName name="BExU2M5CK6XK55UIHDVYRXJJJRI4" localSheetId="20" hidden="1">#REF!</definedName>
    <definedName name="BExU2M5CK6XK55UIHDVYRXJJJRI4" hidden="1">#REF!</definedName>
    <definedName name="BExU2T1JA8VA37QX2DVLJLQAUW7W" localSheetId="20" hidden="1">#REF!</definedName>
    <definedName name="BExU2T1JA8VA37QX2DVLJLQAUW7W" hidden="1">#REF!</definedName>
    <definedName name="BExU2TXVT25ZTOFQAF6CM53Z1RLF" localSheetId="20" hidden="1">#REF!</definedName>
    <definedName name="BExU2TXVT25ZTOFQAF6CM53Z1RLF" hidden="1">#REF!</definedName>
    <definedName name="BExU2XZLYIU19G7358W5T9E87AFR" localSheetId="20" hidden="1">#REF!</definedName>
    <definedName name="BExU2XZLYIU19G7358W5T9E87AFR" hidden="1">#REF!</definedName>
    <definedName name="BExU33OMH5JZ904ICANETZ08X20J" localSheetId="20" hidden="1">#REF!</definedName>
    <definedName name="BExU33OMH5JZ904ICANETZ08X20J" hidden="1">#REF!</definedName>
    <definedName name="BExU3B66MCKJFSKT3HL8B5EJGVX0" localSheetId="20" hidden="1">#REF!</definedName>
    <definedName name="BExU3B66MCKJFSKT3HL8B5EJGVX0" hidden="1">#REF!</definedName>
    <definedName name="BExU3FIQME8CY7AIZPHINOQE8U4S" localSheetId="20" hidden="1">#REF!</definedName>
    <definedName name="BExU3FIQME8CY7AIZPHINOQE8U4S" hidden="1">#REF!</definedName>
    <definedName name="BExU3UNI9NR1RNZR07NSLSZMDOQQ" localSheetId="20" hidden="1">#REF!</definedName>
    <definedName name="BExU3UNI9NR1RNZR07NSLSZMDOQQ" hidden="1">#REF!</definedName>
    <definedName name="BExU401R18N6XKZKL7CNFOZQCM14" localSheetId="20" hidden="1">#REF!</definedName>
    <definedName name="BExU401R18N6XKZKL7CNFOZQCM14" hidden="1">#REF!</definedName>
    <definedName name="BExU42QVGY7TK39W1BIN6CDRG2OE" localSheetId="20" hidden="1">#REF!</definedName>
    <definedName name="BExU42QVGY7TK39W1BIN6CDRG2OE" hidden="1">#REF!</definedName>
    <definedName name="BExU44P2AEX6PD8VC4ISCROUCQSP" localSheetId="20" hidden="1">#REF!</definedName>
    <definedName name="BExU44P2AEX6PD8VC4ISCROUCQSP" hidden="1">#REF!</definedName>
    <definedName name="BExU47OZMS6TCWMEHHF0UCSFLLPI" localSheetId="20" hidden="1">#REF!</definedName>
    <definedName name="BExU47OZMS6TCWMEHHF0UCSFLLPI" hidden="1">#REF!</definedName>
    <definedName name="BExU4D36E8TXN0M8KSNGEAFYP4DQ" localSheetId="20" hidden="1">#REF!</definedName>
    <definedName name="BExU4D36E8TXN0M8KSNGEAFYP4DQ" hidden="1">#REF!</definedName>
    <definedName name="BExU4G31RRVLJ3AC6E1FNEFMXM3O" localSheetId="20" hidden="1">#REF!</definedName>
    <definedName name="BExU4G31RRVLJ3AC6E1FNEFMXM3O" hidden="1">#REF!</definedName>
    <definedName name="BExU4GDVLPUEWBA4MRYRTQAUNO7B" localSheetId="20" hidden="1">#REF!</definedName>
    <definedName name="BExU4GDVLPUEWBA4MRYRTQAUNO7B" hidden="1">#REF!</definedName>
    <definedName name="BExU4H4QVOMTUDXRKDNWMMIRSYHD" localSheetId="20" hidden="1">'[38]10.08.2 - 2008 Expense'!#REF!</definedName>
    <definedName name="BExU4H4QVOMTUDXRKDNWMMIRSYHD" hidden="1">'[38]10.08.2 - 2008 Expense'!#REF!</definedName>
    <definedName name="BExU4I148DA7PRCCISLWQ6ABXFK6" localSheetId="15" hidden="1">#REF!</definedName>
    <definedName name="BExU4I148DA7PRCCISLWQ6ABXFK6" localSheetId="16" hidden="1">#REF!</definedName>
    <definedName name="BExU4I148DA7PRCCISLWQ6ABXFK6" localSheetId="20" hidden="1">#REF!</definedName>
    <definedName name="BExU4I148DA7PRCCISLWQ6ABXFK6" hidden="1">#REF!</definedName>
    <definedName name="BExU4L101H2KQHVKCKQ4PBAWZV6K" localSheetId="20" hidden="1">#REF!</definedName>
    <definedName name="BExU4L101H2KQHVKCKQ4PBAWZV6K" hidden="1">#REF!</definedName>
    <definedName name="BExU4NA00RRRBGRT6TOB0MXZRCRZ" localSheetId="20" hidden="1">#REF!</definedName>
    <definedName name="BExU4NA00RRRBGRT6TOB0MXZRCRZ" hidden="1">#REF!</definedName>
    <definedName name="BExU51IFNZXPBDES28457LR8X60M" localSheetId="20" hidden="1">#REF!</definedName>
    <definedName name="BExU51IFNZXPBDES28457LR8X60M" hidden="1">#REF!</definedName>
    <definedName name="BExU529I6YHVOG83TJHWSILIQU1S" localSheetId="20" hidden="1">#REF!</definedName>
    <definedName name="BExU529I6YHVOG83TJHWSILIQU1S" hidden="1">#REF!</definedName>
    <definedName name="BExU57YCIKPRD8QWL6EU0YR3NG3J" localSheetId="20" hidden="1">#REF!</definedName>
    <definedName name="BExU57YCIKPRD8QWL6EU0YR3NG3J" hidden="1">#REF!</definedName>
    <definedName name="BExU5DSTBWXLN6E59B757KRWRI6E" localSheetId="20" hidden="1">#REF!</definedName>
    <definedName name="BExU5DSTBWXLN6E59B757KRWRI6E" hidden="1">#REF!</definedName>
    <definedName name="BExU5TDWM8NNDHYPQ7OQODTQ368A" localSheetId="20" hidden="1">#REF!</definedName>
    <definedName name="BExU5TDWM8NNDHYPQ7OQODTQ368A" hidden="1">#REF!</definedName>
    <definedName name="BExU5UQD0ZEWKNYDL4KL8VFIMNVH" localSheetId="20" hidden="1">#REF!</definedName>
    <definedName name="BExU5UQD0ZEWKNYDL4KL8VFIMNVH" hidden="1">#REF!</definedName>
    <definedName name="BExU5X4OX1V1XHS6WSSORVQPP6Z3" localSheetId="20" hidden="1">#REF!</definedName>
    <definedName name="BExU5X4OX1V1XHS6WSSORVQPP6Z3" hidden="1">#REF!</definedName>
    <definedName name="BExU5XVPARTFMRYHNUTBKDIL4UJN" localSheetId="20" hidden="1">#REF!</definedName>
    <definedName name="BExU5XVPARTFMRYHNUTBKDIL4UJN" hidden="1">#REF!</definedName>
    <definedName name="BExU66KMFBAP8JCVG9VM1RD1TNFF" localSheetId="20" hidden="1">#REF!</definedName>
    <definedName name="BExU66KMFBAP8JCVG9VM1RD1TNFF" hidden="1">#REF!</definedName>
    <definedName name="BExU68IOM3CB3TACNAE9565TW7SH" localSheetId="20" hidden="1">#REF!</definedName>
    <definedName name="BExU68IOM3CB3TACNAE9565TW7SH" hidden="1">#REF!</definedName>
    <definedName name="BExU6AM82KN21E82HMWVP3LWP9IL" localSheetId="20" hidden="1">#REF!</definedName>
    <definedName name="BExU6AM82KN21E82HMWVP3LWP9IL" hidden="1">#REF!</definedName>
    <definedName name="BExU6FEU1MRHU98R9YOJC5OKUJ6L" localSheetId="20" hidden="1">#REF!</definedName>
    <definedName name="BExU6FEU1MRHU98R9YOJC5OKUJ6L" hidden="1">#REF!</definedName>
    <definedName name="BExU6KIAJ663Y8W8QMU4HCF183DF" localSheetId="20" hidden="1">#REF!</definedName>
    <definedName name="BExU6KIAJ663Y8W8QMU4HCF183DF" hidden="1">#REF!</definedName>
    <definedName name="BExU6KT19B4PG6SHXFBGBPLM66KT" localSheetId="20" hidden="1">#REF!</definedName>
    <definedName name="BExU6KT19B4PG6SHXFBGBPLM66KT" hidden="1">#REF!</definedName>
    <definedName name="BExU6PAVKIOAIMQ9XQIHHF1SUAGO" localSheetId="20" hidden="1">#REF!</definedName>
    <definedName name="BExU6PAVKIOAIMQ9XQIHHF1SUAGO" hidden="1">#REF!</definedName>
    <definedName name="BExU6WXXC7SSQDMHSLUN5C2V4IYX" localSheetId="20" hidden="1">#REF!</definedName>
    <definedName name="BExU6WXXC7SSQDMHSLUN5C2V4IYX" hidden="1">#REF!</definedName>
    <definedName name="BExU73387E74XE8A9UKZLZNJYY65" localSheetId="20" hidden="1">#REF!</definedName>
    <definedName name="BExU73387E74XE8A9UKZLZNJYY65" hidden="1">#REF!</definedName>
    <definedName name="BExU76ZHCJM8I7VSICCMSTC33O6U" localSheetId="20" hidden="1">#REF!</definedName>
    <definedName name="BExU76ZHCJM8I7VSICCMSTC33O6U" hidden="1">#REF!</definedName>
    <definedName name="BExU7BBTUF8BQ42DSGM94X5TG5GF" localSheetId="20" hidden="1">#REF!</definedName>
    <definedName name="BExU7BBTUF8BQ42DSGM94X5TG5GF" hidden="1">#REF!</definedName>
    <definedName name="BExU7HH4EAHFQHT4AXKGWAWZP3I0" localSheetId="20" hidden="1">#REF!</definedName>
    <definedName name="BExU7HH4EAHFQHT4AXKGWAWZP3I0" hidden="1">#REF!</definedName>
    <definedName name="BExU7MF1ZVPDHOSMCAXOSYICHZ4I" localSheetId="20" hidden="1">#REF!</definedName>
    <definedName name="BExU7MF1ZVPDHOSMCAXOSYICHZ4I" hidden="1">#REF!</definedName>
    <definedName name="BExU7O2BJ6D5YCKEL6FD2EFCWYRX" localSheetId="20" hidden="1">#REF!</definedName>
    <definedName name="BExU7O2BJ6D5YCKEL6FD2EFCWYRX" hidden="1">#REF!</definedName>
    <definedName name="BExU7PKGGTU90XX4CKU6M5W0HTLN" localSheetId="20" hidden="1">#REF!</definedName>
    <definedName name="BExU7PKGGTU90XX4CKU6M5W0HTLN" hidden="1">#REF!</definedName>
    <definedName name="BExU7Q0JS9YIUKUPNSSAIDK2KJAV" localSheetId="20" hidden="1">#REF!</definedName>
    <definedName name="BExU7Q0JS9YIUKUPNSSAIDK2KJAV" hidden="1">#REF!</definedName>
    <definedName name="BExU7XNR6I6O94DKRLHQ1FWJ64S0" localSheetId="20" hidden="1">#REF!</definedName>
    <definedName name="BExU7XNR6I6O94DKRLHQ1FWJ64S0" hidden="1">#REF!</definedName>
    <definedName name="BExU80I6AE5OU7P7F5V7HWIZBJ4P" localSheetId="20" hidden="1">#REF!</definedName>
    <definedName name="BExU80I6AE5OU7P7F5V7HWIZBJ4P" hidden="1">#REF!</definedName>
    <definedName name="BExU86NB26MCPYIISZ36HADONGT2" localSheetId="20" hidden="1">#REF!</definedName>
    <definedName name="BExU86NB26MCPYIISZ36HADONGT2" hidden="1">#REF!</definedName>
    <definedName name="BExU885EZZNSZV3GP298UJ8LB7OL" localSheetId="20" hidden="1">#REF!</definedName>
    <definedName name="BExU885EZZNSZV3GP298UJ8LB7OL" hidden="1">#REF!</definedName>
    <definedName name="BExU8DZPVHN9IPBJG5ASDBCHVV6F" localSheetId="20" hidden="1">#REF!</definedName>
    <definedName name="BExU8DZPVHN9IPBJG5ASDBCHVV6F" hidden="1">#REF!</definedName>
    <definedName name="BExU8FSAUP9TUZ1NO9WXK80QPHWV" localSheetId="20" hidden="1">#REF!</definedName>
    <definedName name="BExU8FSAUP9TUZ1NO9WXK80QPHWV" hidden="1">#REF!</definedName>
    <definedName name="BExU8GOTU4Q7I3BF5S1PKOPIPIP8" localSheetId="20" hidden="1">#REF!</definedName>
    <definedName name="BExU8GOTU4Q7I3BF5S1PKOPIPIP8" hidden="1">#REF!</definedName>
    <definedName name="BExU8KFLAN778MBN93NYZB0FV30G" localSheetId="20" hidden="1">#REF!</definedName>
    <definedName name="BExU8KFLAN778MBN93NYZB0FV30G" hidden="1">#REF!</definedName>
    <definedName name="BExU8MDV8JYF9JHWAW4N09DMLGH5" localSheetId="20" hidden="1">#REF!</definedName>
    <definedName name="BExU8MDV8JYF9JHWAW4N09DMLGH5" hidden="1">#REF!</definedName>
    <definedName name="BExU8R0Z2JP4BSAIMCN5VNQZSAQV" localSheetId="20" hidden="1">#REF!</definedName>
    <definedName name="BExU8R0Z2JP4BSAIMCN5VNQZSAQV" hidden="1">#REF!</definedName>
    <definedName name="BExU8SO8VG1NKAASDL1AWU8VYF7J" localSheetId="20" hidden="1">#REF!</definedName>
    <definedName name="BExU8SO8VG1NKAASDL1AWU8VYF7J" hidden="1">#REF!</definedName>
    <definedName name="BExU8UX9JX3XLB47YZ8GFXE0V7R2" localSheetId="20" hidden="1">#REF!</definedName>
    <definedName name="BExU8UX9JX3XLB47YZ8GFXE0V7R2" hidden="1">#REF!</definedName>
    <definedName name="BExU91DC3DGKPZD6LTER2IRTF89C" localSheetId="20" hidden="1">#REF!</definedName>
    <definedName name="BExU91DC3DGKPZD6LTER2IRTF89C" hidden="1">#REF!</definedName>
    <definedName name="BExU91TEHJ9BOPW2I0PGCMVB2LIN" localSheetId="20" hidden="1">#REF!</definedName>
    <definedName name="BExU91TEHJ9BOPW2I0PGCMVB2LIN" hidden="1">#REF!</definedName>
    <definedName name="BExU935WUOV28D64L2EAFTLHA8XK" localSheetId="20" hidden="1">'[38]10.08.5 - 2008 Capital - TDBU'!#REF!</definedName>
    <definedName name="BExU935WUOV28D64L2EAFTLHA8XK" hidden="1">'[38]10.08.5 - 2008 Capital - TDBU'!#REF!</definedName>
    <definedName name="BExU96M1J7P9DZQ3S9H0C12KGYTW" localSheetId="15" hidden="1">#REF!</definedName>
    <definedName name="BExU96M1J7P9DZQ3S9H0C12KGYTW" localSheetId="16" hidden="1">#REF!</definedName>
    <definedName name="BExU96M1J7P9DZQ3S9H0C12KGYTW" localSheetId="20" hidden="1">#REF!</definedName>
    <definedName name="BExU96M1J7P9DZQ3S9H0C12KGYTW" hidden="1">#REF!</definedName>
    <definedName name="BExU9F05OR1GZ3057R6UL3WPEIYI" localSheetId="20" hidden="1">#REF!</definedName>
    <definedName name="BExU9F05OR1GZ3057R6UL3WPEIYI" hidden="1">#REF!</definedName>
    <definedName name="BExU9GCSO5YILIKG6VAHN13DL75K" localSheetId="20" hidden="1">#REF!</definedName>
    <definedName name="BExU9GCSO5YILIKG6VAHN13DL75K" hidden="1">#REF!</definedName>
    <definedName name="BExU9KJOZLO15N11MJVN782NFGJ0" localSheetId="20" hidden="1">#REF!</definedName>
    <definedName name="BExU9KJOZLO15N11MJVN782NFGJ0" hidden="1">#REF!</definedName>
    <definedName name="BExU9KUGSKLYR8ZI3DN6F833CK8A" localSheetId="20" hidden="1">#REF!</definedName>
    <definedName name="BExU9KUGSKLYR8ZI3DN6F833CK8A" hidden="1">#REF!</definedName>
    <definedName name="BExU9LG29XU2K1GNKRO4438JYQZE" localSheetId="20" hidden="1">#REF!</definedName>
    <definedName name="BExU9LG29XU2K1GNKRO4438JYQZE" hidden="1">#REF!</definedName>
    <definedName name="BExU9MHVU4RJY03HU20S53C4BQTJ" localSheetId="20" hidden="1">#REF!</definedName>
    <definedName name="BExU9MHVU4RJY03HU20S53C4BQTJ" hidden="1">#REF!</definedName>
    <definedName name="BExU9RW36I5Z6JIXUIUB3PJH86LT" localSheetId="20" hidden="1">#REF!</definedName>
    <definedName name="BExU9RW36I5Z6JIXUIUB3PJH86LT" hidden="1">#REF!</definedName>
    <definedName name="BExUA28AO7OWDG3H23Q0CL4B7BHW" localSheetId="20" hidden="1">#REF!</definedName>
    <definedName name="BExUA28AO7OWDG3H23Q0CL4B7BHW" hidden="1">#REF!</definedName>
    <definedName name="BExUA5O923FFNEBY8BPO1TU3QGBM" localSheetId="20" hidden="1">#REF!</definedName>
    <definedName name="BExUA5O923FFNEBY8BPO1TU3QGBM" hidden="1">#REF!</definedName>
    <definedName name="BExUA6Q4K25VH452AQ3ZIRBCMS61" localSheetId="20" hidden="1">#REF!</definedName>
    <definedName name="BExUA6Q4K25VH452AQ3ZIRBCMS61" hidden="1">#REF!</definedName>
    <definedName name="BExUA7MHC1RAILNC8XURIB3WHXK3" localSheetId="20" hidden="1">#REF!</definedName>
    <definedName name="BExUA7MHC1RAILNC8XURIB3WHXK3" hidden="1">#REF!</definedName>
    <definedName name="BExUAABKIIVOK3JUILTKGJVUPEQK" localSheetId="20" hidden="1">#REF!</definedName>
    <definedName name="BExUAABKIIVOK3JUILTKGJVUPEQK" hidden="1">#REF!</definedName>
    <definedName name="BExUAAH2D4VGVRIQGPJB00O9MFGA" localSheetId="20" hidden="1">#REF!</definedName>
    <definedName name="BExUAAH2D4VGVRIQGPJB00O9MFGA" hidden="1">#REF!</definedName>
    <definedName name="BExUABTJG7CHXQDBVDEEMHSVE1YY" localSheetId="20" hidden="1">'[38]10.08.5 - 2008 Capital - TDBU'!#REF!</definedName>
    <definedName name="BExUABTJG7CHXQDBVDEEMHSVE1YY" hidden="1">'[38]10.08.5 - 2008 Capital - TDBU'!#REF!</definedName>
    <definedName name="BExUAE7VUMCVDFX37BD0AFOQDTE3" localSheetId="15" hidden="1">#REF!</definedName>
    <definedName name="BExUAE7VUMCVDFX37BD0AFOQDTE3" localSheetId="16" hidden="1">#REF!</definedName>
    <definedName name="BExUAE7VUMCVDFX37BD0AFOQDTE3" localSheetId="20" hidden="1">#REF!</definedName>
    <definedName name="BExUAE7VUMCVDFX37BD0AFOQDTE3" hidden="1">#REF!</definedName>
    <definedName name="BExUAFV4JMBSM2SKBQL9NHL0NIBS" localSheetId="20" hidden="1">#REF!</definedName>
    <definedName name="BExUAFV4JMBSM2SKBQL9NHL0NIBS" hidden="1">#REF!</definedName>
    <definedName name="BExUAMWQODKBXMRH1QCMJLJBF8M7" localSheetId="20" hidden="1">#REF!</definedName>
    <definedName name="BExUAMWQODKBXMRH1QCMJLJBF8M7" hidden="1">#REF!</definedName>
    <definedName name="BExUAQYCACRL8UX675MZ2A0135PW" localSheetId="20" hidden="1">#REF!</definedName>
    <definedName name="BExUAQYCACRL8UX675MZ2A0135PW" hidden="1">#REF!</definedName>
    <definedName name="BExUAT7C2EA99VHS9U7OALH9YLZN" localSheetId="20" hidden="1">#REF!</definedName>
    <definedName name="BExUAT7C2EA99VHS9U7OALH9YLZN" hidden="1">#REF!</definedName>
    <definedName name="BExUAVAV8UKWKQ0K62SFQWUFUOTU" localSheetId="20" hidden="1">#REF!</definedName>
    <definedName name="BExUAVAV8UKWKQ0K62SFQWUFUOTU" hidden="1">#REF!</definedName>
    <definedName name="BExUAX8WS5OPVLCDXRGKTU2QMTFO" localSheetId="20" hidden="1">#REF!</definedName>
    <definedName name="BExUAX8WS5OPVLCDXRGKTU2QMTFO" hidden="1">#REF!</definedName>
    <definedName name="BExUB8HLEXSBVPZ5AXNQEK96F1N4" localSheetId="20" hidden="1">#REF!</definedName>
    <definedName name="BExUB8HLEXSBVPZ5AXNQEK96F1N4" hidden="1">#REF!</definedName>
    <definedName name="BExUB9U3LH9RE0L0C9VDXHG4Z0CT" localSheetId="20" hidden="1">#REF!</definedName>
    <definedName name="BExUB9U3LH9RE0L0C9VDXHG4Z0CT" hidden="1">#REF!</definedName>
    <definedName name="BExUBCDVZIEA7YT0LPSMHL5ZSERQ" localSheetId="20" hidden="1">#REF!</definedName>
    <definedName name="BExUBCDVZIEA7YT0LPSMHL5ZSERQ" hidden="1">#REF!</definedName>
    <definedName name="BExUBKXBUCN760QYU7Q8GESBWOQH" localSheetId="20" hidden="1">#REF!</definedName>
    <definedName name="BExUBKXBUCN760QYU7Q8GESBWOQH" hidden="1">#REF!</definedName>
    <definedName name="BExUBL83ED0P076RN9RJ8P1MZ299" localSheetId="20" hidden="1">#REF!</definedName>
    <definedName name="BExUBL83ED0P076RN9RJ8P1MZ299" hidden="1">#REF!</definedName>
    <definedName name="BExUBS9LHCDLBL7S3ZNT91B3T5I9" localSheetId="20" hidden="1">#REF!</definedName>
    <definedName name="BExUBS9LHCDLBL7S3ZNT91B3T5I9" hidden="1">#REF!</definedName>
    <definedName name="BExUBZB72GX583YHAMJJC3QGV1EZ" localSheetId="20" hidden="1">#REF!</definedName>
    <definedName name="BExUBZB72GX583YHAMJJC3QGV1EZ" hidden="1">#REF!</definedName>
    <definedName name="BExUC4EMUM9S63KSY0LLQUAGWJ1A" localSheetId="20" hidden="1">#REF!</definedName>
    <definedName name="BExUC4EMUM9S63KSY0LLQUAGWJ1A" hidden="1">#REF!</definedName>
    <definedName name="BExUC623BDYEODBN0N4DO6PJQ7NU" localSheetId="20" hidden="1">#REF!</definedName>
    <definedName name="BExUC623BDYEODBN0N4DO6PJQ7NU" hidden="1">#REF!</definedName>
    <definedName name="BExUC8WH8TCKBB5313JGYYQ1WFLT" localSheetId="20" hidden="1">#REF!</definedName>
    <definedName name="BExUC8WH8TCKBB5313JGYYQ1WFLT" hidden="1">#REF!</definedName>
    <definedName name="BExUCFCDK6SPH86I6STXX8X3WMC4" localSheetId="20" hidden="1">#REF!</definedName>
    <definedName name="BExUCFCDK6SPH86I6STXX8X3WMC4" hidden="1">#REF!</definedName>
    <definedName name="BExUCI1NZNPIHC2T0GUIENNZVCNG" localSheetId="20" hidden="1">#REF!</definedName>
    <definedName name="BExUCI1NZNPIHC2T0GUIENNZVCNG" hidden="1">#REF!</definedName>
    <definedName name="BExUCLC6AQ5KR6LXSAXV4QQ8ASVG" localSheetId="20" hidden="1">#REF!</definedName>
    <definedName name="BExUCLC6AQ5KR6LXSAXV4QQ8ASVG" hidden="1">#REF!</definedName>
    <definedName name="BExUCPOPUZEN1BYI6PPSAUKQPXP4" localSheetId="20" hidden="1">#REF!</definedName>
    <definedName name="BExUCPOPUZEN1BYI6PPSAUKQPXP4" hidden="1">#REF!</definedName>
    <definedName name="BExUCQL36TCLIPO8DEYYYFQLM20S" localSheetId="20" hidden="1">#REF!</definedName>
    <definedName name="BExUCQL36TCLIPO8DEYYYFQLM20S" hidden="1">#REF!</definedName>
    <definedName name="BExUD4IOJ12X3PJG5WXNNGDRCKAP" localSheetId="20" hidden="1">#REF!</definedName>
    <definedName name="BExUD4IOJ12X3PJG5WXNNGDRCKAP" hidden="1">#REF!</definedName>
    <definedName name="BExUD77TM7LZ8CRP774MLVLQMHJF" localSheetId="20" hidden="1">#REF!</definedName>
    <definedName name="BExUD77TM7LZ8CRP774MLVLQMHJF" hidden="1">#REF!</definedName>
    <definedName name="BExUD9WX9BWK72UWVSLYZJLAY5VY" localSheetId="20" hidden="1">#REF!</definedName>
    <definedName name="BExUD9WX9BWK72UWVSLYZJLAY5VY" hidden="1">#REF!</definedName>
    <definedName name="BExUDBEUJH9IACZDBL1VAUWPG0QW" localSheetId="20" hidden="1">#REF!</definedName>
    <definedName name="BExUDBEUJH9IACZDBL1VAUWPG0QW" hidden="1">#REF!</definedName>
    <definedName name="BExUDEV0CYVO7Y5IQQBEJ6FUY9S6" localSheetId="20" hidden="1">#REF!</definedName>
    <definedName name="BExUDEV0CYVO7Y5IQQBEJ6FUY9S6" hidden="1">#REF!</definedName>
    <definedName name="BExUDWOXQGIZW0EAIIYLQUPXF8YV" localSheetId="20" hidden="1">#REF!</definedName>
    <definedName name="BExUDWOXQGIZW0EAIIYLQUPXF8YV" hidden="1">#REF!</definedName>
    <definedName name="BExUDXAIC17W1FUU8Z10XUAVB7CS" localSheetId="20" hidden="1">#REF!</definedName>
    <definedName name="BExUDXAIC17W1FUU8Z10XUAVB7CS" hidden="1">#REF!</definedName>
    <definedName name="BExUE5OMY7OAJQ9WR8C8HG311ORP" localSheetId="20" hidden="1">#REF!</definedName>
    <definedName name="BExUE5OMY7OAJQ9WR8C8HG311ORP" hidden="1">#REF!</definedName>
    <definedName name="BExUEBZ76MLA94L1R8NG6162LJJC" localSheetId="20" hidden="1">#REF!</definedName>
    <definedName name="BExUEBZ76MLA94L1R8NG6162LJJC" hidden="1">#REF!</definedName>
    <definedName name="BExUEFKOQWXXGRNLAOJV2BJ66UB8" localSheetId="20" hidden="1">#REF!</definedName>
    <definedName name="BExUEFKOQWXXGRNLAOJV2BJ66UB8" hidden="1">#REF!</definedName>
    <definedName name="BExUEJGX3OQQP5KFRJSRCZ70EI9V" localSheetId="20" hidden="1">#REF!</definedName>
    <definedName name="BExUEJGX3OQQP5KFRJSRCZ70EI9V" hidden="1">#REF!</definedName>
    <definedName name="BExUEYR71COFS2X8PDNU21IPMQEU" localSheetId="20" hidden="1">#REF!</definedName>
    <definedName name="BExUEYR71COFS2X8PDNU21IPMQEU" hidden="1">#REF!</definedName>
    <definedName name="BExVPRLJ9I6RX45EDVFSQGCPJSOK" localSheetId="20" hidden="1">#REF!</definedName>
    <definedName name="BExVPRLJ9I6RX45EDVFSQGCPJSOK" hidden="1">#REF!</definedName>
    <definedName name="BExVRQXGAYDXW65J1WQ66FUBU3MG" localSheetId="20" hidden="1">#REF!</definedName>
    <definedName name="BExVRQXGAYDXW65J1WQ66FUBU3MG" hidden="1">#REF!</definedName>
    <definedName name="BExVRT0Z04GVD2DWPCG83NW0VCB8" localSheetId="20" hidden="1">#REF!</definedName>
    <definedName name="BExVRT0Z04GVD2DWPCG83NW0VCB8" hidden="1">#REF!</definedName>
    <definedName name="BExVS6TC2D1M7WMNFJPY1Q5XO46F" localSheetId="20" hidden="1">#REF!</definedName>
    <definedName name="BExVS6TC2D1M7WMNFJPY1Q5XO46F" hidden="1">#REF!</definedName>
    <definedName name="BExVSL787C8E4HFQZ2NVLT35I2XV" localSheetId="20" hidden="1">#REF!</definedName>
    <definedName name="BExVSL787C8E4HFQZ2NVLT35I2XV" hidden="1">#REF!</definedName>
    <definedName name="BExVSP8QTS4AC4LXZ1NVOUOFOBPH" localSheetId="20" hidden="1">#REF!</definedName>
    <definedName name="BExVSP8QTS4AC4LXZ1NVOUOFOBPH" hidden="1">#REF!</definedName>
    <definedName name="BExVSTFTVV14SFGHQUOJL5SQ5TX9" localSheetId="20" hidden="1">#REF!</definedName>
    <definedName name="BExVSTFTVV14SFGHQUOJL5SQ5TX9" hidden="1">#REF!</definedName>
    <definedName name="BExVT3MPE8LQ5JFN3HQIFKSQ80U4" localSheetId="20" hidden="1">#REF!</definedName>
    <definedName name="BExVT3MPE8LQ5JFN3HQIFKSQ80U4" hidden="1">#REF!</definedName>
    <definedName name="BExVT7TRK3NZHPME2TFBXOF1WBR9" localSheetId="20" hidden="1">#REF!</definedName>
    <definedName name="BExVT7TRK3NZHPME2TFBXOF1WBR9" hidden="1">#REF!</definedName>
    <definedName name="BExVT9H0R0T7WGQAAC0HABMG54YM" localSheetId="20" hidden="1">#REF!</definedName>
    <definedName name="BExVT9H0R0T7WGQAAC0HABMG54YM" hidden="1">#REF!</definedName>
    <definedName name="BExVTCMDDEDGLUIMUU6BSFHEWTOP" localSheetId="20" hidden="1">#REF!</definedName>
    <definedName name="BExVTCMDDEDGLUIMUU6BSFHEWTOP" hidden="1">#REF!</definedName>
    <definedName name="BExVTCMDQMLKRA2NQR72XU6Y54IK" localSheetId="20" hidden="1">#REF!</definedName>
    <definedName name="BExVTCMDQMLKRA2NQR72XU6Y54IK" hidden="1">#REF!</definedName>
    <definedName name="BExVTCRV8FQ5U9OYWWL44N6KFNHU" localSheetId="20" hidden="1">#REF!</definedName>
    <definedName name="BExVTCRV8FQ5U9OYWWL44N6KFNHU" hidden="1">#REF!</definedName>
    <definedName name="BExVTNESHPVG0A0KZ7BRX26MS0PF" localSheetId="20" hidden="1">#REF!</definedName>
    <definedName name="BExVTNESHPVG0A0KZ7BRX26MS0PF" hidden="1">#REF!</definedName>
    <definedName name="BExVTTJVTNRSBHBTUZ78WG2JM5MK" localSheetId="20" hidden="1">#REF!</definedName>
    <definedName name="BExVTTJVTNRSBHBTUZ78WG2JM5MK" hidden="1">#REF!</definedName>
    <definedName name="BExVTXLMYR87BC04D1ERALPUFVPG" localSheetId="20" hidden="1">#REF!</definedName>
    <definedName name="BExVTXLMYR87BC04D1ERALPUFVPG" hidden="1">#REF!</definedName>
    <definedName name="BExVUEJ63CBM9VJMNW3RSE919GDN" localSheetId="20" hidden="1">#REF!</definedName>
    <definedName name="BExVUEJ63CBM9VJMNW3RSE919GDN" hidden="1">#REF!</definedName>
    <definedName name="BExVUKZ8B9WB4BOZ2U77BLN0FQMO" localSheetId="20" hidden="1">#REF!</definedName>
    <definedName name="BExVUKZ8B9WB4BOZ2U77BLN0FQMO" hidden="1">#REF!</definedName>
    <definedName name="BExVUL9V3H8ZF6Y72LQBBN639YAA" localSheetId="20" hidden="1">#REF!</definedName>
    <definedName name="BExVUL9V3H8ZF6Y72LQBBN639YAA" hidden="1">#REF!</definedName>
    <definedName name="BExVULFDJFCNRI6ITVSJ20MEQ4RF" localSheetId="20" hidden="1">#REF!</definedName>
    <definedName name="BExVULFDJFCNRI6ITVSJ20MEQ4RF" hidden="1">#REF!</definedName>
    <definedName name="BExVV5T14N2HZIK7HQ4P2KG09U0J" localSheetId="20" hidden="1">#REF!</definedName>
    <definedName name="BExVV5T14N2HZIK7HQ4P2KG09U0J" hidden="1">#REF!</definedName>
    <definedName name="BExVV7R410VYLADLX9LNG63ID6H1" localSheetId="20" hidden="1">#REF!</definedName>
    <definedName name="BExVV7R410VYLADLX9LNG63ID6H1" hidden="1">#REF!</definedName>
    <definedName name="BExVV7WJSYFYP74SNAXSODTGHMLZ" localSheetId="20" hidden="1">#REF!</definedName>
    <definedName name="BExVV7WJSYFYP74SNAXSODTGHMLZ" hidden="1">#REF!</definedName>
    <definedName name="BExVVCEED4JEKF59OV0G3T4XFMFO" localSheetId="20" hidden="1">#REF!</definedName>
    <definedName name="BExVVCEED4JEKF59OV0G3T4XFMFO" hidden="1">#REF!</definedName>
    <definedName name="BExVVNMYEAFCCP9QT0J8H252JWD9" localSheetId="20" hidden="1">'[38]10.08.5 - 2008 Capital - TDBU'!#REF!</definedName>
    <definedName name="BExVVNMYEAFCCP9QT0J8H252JWD9" hidden="1">'[38]10.08.5 - 2008 Capital - TDBU'!#REF!</definedName>
    <definedName name="BExVVPFO2J7FMSRPD36909HN4BZJ" localSheetId="15" hidden="1">#REF!</definedName>
    <definedName name="BExVVPFO2J7FMSRPD36909HN4BZJ" localSheetId="16" hidden="1">#REF!</definedName>
    <definedName name="BExVVPFO2J7FMSRPD36909HN4BZJ" localSheetId="20" hidden="1">#REF!</definedName>
    <definedName name="BExVVPFO2J7FMSRPD36909HN4BZJ" hidden="1">#REF!</definedName>
    <definedName name="BExVVQ19AQ3VCARJOC38SF7OYE9Y" localSheetId="20" hidden="1">#REF!</definedName>
    <definedName name="BExVVQ19AQ3VCARJOC38SF7OYE9Y" hidden="1">#REF!</definedName>
    <definedName name="BExVVQ19TAECID45CS4HXT1RD3AQ" localSheetId="20" hidden="1">#REF!</definedName>
    <definedName name="BExVVQ19TAECID45CS4HXT1RD3AQ" hidden="1">#REF!</definedName>
    <definedName name="BExVW0Z6US3NTJHJDYWIZB98DPUY" localSheetId="20" hidden="1">'[38]10.08.3 - 2008 Expense - TDBU'!#REF!</definedName>
    <definedName name="BExVW0Z6US3NTJHJDYWIZB98DPUY" hidden="1">'[38]10.08.3 - 2008 Expense - TDBU'!#REF!</definedName>
    <definedName name="BExVW1Q2P0JOW0VUQZZGZKEGMFKS" localSheetId="15" hidden="1">#REF!</definedName>
    <definedName name="BExVW1Q2P0JOW0VUQZZGZKEGMFKS" localSheetId="16" hidden="1">#REF!</definedName>
    <definedName name="BExVW1Q2P0JOW0VUQZZGZKEGMFKS" localSheetId="20" hidden="1">#REF!</definedName>
    <definedName name="BExVW1Q2P0JOW0VUQZZGZKEGMFKS" hidden="1">#REF!</definedName>
    <definedName name="BExVW3YV5XGIVJ97UUPDJGJ2P15B" localSheetId="20" hidden="1">#REF!</definedName>
    <definedName name="BExVW3YV5XGIVJ97UUPDJGJ2P15B" hidden="1">#REF!</definedName>
    <definedName name="BExVW5X571GEYR5SCU1Z2DHKWM79" localSheetId="20" hidden="1">#REF!</definedName>
    <definedName name="BExVW5X571GEYR5SCU1Z2DHKWM79" hidden="1">#REF!</definedName>
    <definedName name="BExVW6YTKA098AF57M4PHNQ54XMH" localSheetId="20" hidden="1">#REF!</definedName>
    <definedName name="BExVW6YTKA098AF57M4PHNQ54XMH" hidden="1">#REF!</definedName>
    <definedName name="BExVWINKCH0V0NUWH363SMXAZE62" localSheetId="20" hidden="1">#REF!</definedName>
    <definedName name="BExVWINKCH0V0NUWH363SMXAZE62" hidden="1">#REF!</definedName>
    <definedName name="BExVWTG1XJY59HT2TMMJM4S3G1YT" localSheetId="20" hidden="1">#REF!</definedName>
    <definedName name="BExVWTG1XJY59HT2TMMJM4S3G1YT" hidden="1">#REF!</definedName>
    <definedName name="BExVWYU8EK669NP172GEIGCTVPPA" localSheetId="20" hidden="1">#REF!</definedName>
    <definedName name="BExVWYU8EK669NP172GEIGCTVPPA" hidden="1">#REF!</definedName>
    <definedName name="BExVX3MVJ0GHWPP1EL59ZQNKMX0B" localSheetId="20" hidden="1">#REF!</definedName>
    <definedName name="BExVX3MVJ0GHWPP1EL59ZQNKMX0B" hidden="1">#REF!</definedName>
    <definedName name="BExVX3XN2DRJKL8EDBIG58RYQ36R" localSheetId="20" hidden="1">#REF!</definedName>
    <definedName name="BExVX3XN2DRJKL8EDBIG58RYQ36R" hidden="1">#REF!</definedName>
    <definedName name="BExVXDZ63PUART77BBR5SI63TPC6" localSheetId="20" hidden="1">#REF!</definedName>
    <definedName name="BExVXDZ63PUART77BBR5SI63TPC6" hidden="1">#REF!</definedName>
    <definedName name="BExVXHKI6LFYMGWISMPACMO247HL" localSheetId="20" hidden="1">#REF!</definedName>
    <definedName name="BExVXHKI6LFYMGWISMPACMO247HL" hidden="1">#REF!</definedName>
    <definedName name="BExVXL0O69U12CDKBFJOPW4R1P2N" localSheetId="20" hidden="1">#REF!</definedName>
    <definedName name="BExVXL0O69U12CDKBFJOPW4R1P2N" hidden="1">#REF!</definedName>
    <definedName name="BExVXLX2BZ5EF2X6R41BTKRJR1NM" localSheetId="20" hidden="1">#REF!</definedName>
    <definedName name="BExVXLX2BZ5EF2X6R41BTKRJR1NM" hidden="1">#REF!</definedName>
    <definedName name="BExVXTK9AEYZ4I2G1G36EB5LBSYN" localSheetId="20" hidden="1">#REF!</definedName>
    <definedName name="BExVXTK9AEYZ4I2G1G36EB5LBSYN" hidden="1">#REF!</definedName>
    <definedName name="BExVY11V7U1SAY4QKYE0PBSPD7LW" localSheetId="20" hidden="1">#REF!</definedName>
    <definedName name="BExVY11V7U1SAY4QKYE0PBSPD7LW" hidden="1">#REF!</definedName>
    <definedName name="BExVY1SV37DL5YU59HS4IG3VBCP4" localSheetId="20" hidden="1">#REF!</definedName>
    <definedName name="BExVY1SV37DL5YU59HS4IG3VBCP4" hidden="1">#REF!</definedName>
    <definedName name="BExVY3WFGJKSQA08UF9NCMST928Y" localSheetId="20" hidden="1">#REF!</definedName>
    <definedName name="BExVY3WFGJKSQA08UF9NCMST928Y" hidden="1">#REF!</definedName>
    <definedName name="BExVY954UOEVQEIC5OFO4NEWVKAQ" localSheetId="20" hidden="1">#REF!</definedName>
    <definedName name="BExVY954UOEVQEIC5OFO4NEWVKAQ" hidden="1">#REF!</definedName>
    <definedName name="BExVYDC7HTM8F61S3XN21YNDDND2" localSheetId="20" hidden="1">#REF!</definedName>
    <definedName name="BExVYDC7HTM8F61S3XN21YNDDND2" hidden="1">#REF!</definedName>
    <definedName name="BExVYFFR4A093PVY6PMSQTBJDM7M" localSheetId="20" hidden="1">#REF!</definedName>
    <definedName name="BExVYFFR4A093PVY6PMSQTBJDM7M" hidden="1">#REF!</definedName>
    <definedName name="BExVYFL875EZ1Y283MJDADGHT55S" localSheetId="20" hidden="1">'[38]10.08.2 - 2008 Expense'!#REF!</definedName>
    <definedName name="BExVYFL875EZ1Y283MJDADGHT55S" hidden="1">'[38]10.08.2 - 2008 Expense'!#REF!</definedName>
    <definedName name="BExVYHDYIV5397LC02V4FEP8VD6W" localSheetId="15" hidden="1">#REF!</definedName>
    <definedName name="BExVYHDYIV5397LC02V4FEP8VD6W" localSheetId="16" hidden="1">#REF!</definedName>
    <definedName name="BExVYHDYIV5397LC02V4FEP8VD6W" localSheetId="20" hidden="1">#REF!</definedName>
    <definedName name="BExVYHDYIV5397LC02V4FEP8VD6W" hidden="1">#REF!</definedName>
    <definedName name="BExVYJXKYUCSEU1BZ19KSB39VXMD" localSheetId="20" hidden="1">#REF!</definedName>
    <definedName name="BExVYJXKYUCSEU1BZ19KSB39VXMD" hidden="1">#REF!</definedName>
    <definedName name="BExVYOVIZDA18YIQ0A30Q052PCAK" localSheetId="20" hidden="1">#REF!</definedName>
    <definedName name="BExVYOVIZDA18YIQ0A30Q052PCAK" hidden="1">#REF!</definedName>
    <definedName name="BExVYQIXPEM6J4JVP78BRHIC05PV" localSheetId="20" hidden="1">#REF!</definedName>
    <definedName name="BExVYQIXPEM6J4JVP78BRHIC05PV" hidden="1">#REF!</definedName>
    <definedName name="BExVYR9UQJ26G3DMTP1TIAG98DRS" localSheetId="20" hidden="1">#REF!</definedName>
    <definedName name="BExVYR9UQJ26G3DMTP1TIAG98DRS" hidden="1">#REF!</definedName>
    <definedName name="BExVYVGWN7SONLVDH9WJ2F1JS264" localSheetId="20" hidden="1">#REF!</definedName>
    <definedName name="BExVYVGWN7SONLVDH9WJ2F1JS264" hidden="1">#REF!</definedName>
    <definedName name="BExVZ9EO732IK6MNMG17Y1EFTJQC" localSheetId="20" hidden="1">#REF!</definedName>
    <definedName name="BExVZ9EO732IK6MNMG17Y1EFTJQC" hidden="1">#REF!</definedName>
    <definedName name="BExVZB1Y5J4UL2LKK0363EU7GIJ1" localSheetId="20" hidden="1">#REF!</definedName>
    <definedName name="BExVZB1Y5J4UL2LKK0363EU7GIJ1" hidden="1">#REF!</definedName>
    <definedName name="BExVZJQVO5LQ0BJH5JEN5NOBIAF6" localSheetId="20" hidden="1">#REF!</definedName>
    <definedName name="BExVZJQVO5LQ0BJH5JEN5NOBIAF6" hidden="1">#REF!</definedName>
    <definedName name="BExVZNXWS91RD7NXV5NE2R3C8WW7" localSheetId="20" hidden="1">#REF!</definedName>
    <definedName name="BExVZNXWS91RD7NXV5NE2R3C8WW7" hidden="1">#REF!</definedName>
    <definedName name="BExW0386REQRCQCVT9BCX80UPTRY" localSheetId="20" hidden="1">#REF!</definedName>
    <definedName name="BExW0386REQRCQCVT9BCX80UPTRY" hidden="1">#REF!</definedName>
    <definedName name="BExW05XB61VWY09SYF60QOK8TPYX" localSheetId="20" hidden="1">#REF!</definedName>
    <definedName name="BExW05XB61VWY09SYF60QOK8TPYX" hidden="1">#REF!</definedName>
    <definedName name="BExW06IWPRMJLGPZWY6KNMR28VMQ" localSheetId="20" hidden="1">'[38]10.08.5 - 2008 Capital - TDBU'!#REF!</definedName>
    <definedName name="BExW06IWPRMJLGPZWY6KNMR28VMQ" hidden="1">'[38]10.08.5 - 2008 Capital - TDBU'!#REF!</definedName>
    <definedName name="BExW08MEDLGNM5Z5KYW1HQXCBUR6" localSheetId="15" hidden="1">#REF!</definedName>
    <definedName name="BExW08MEDLGNM5Z5KYW1HQXCBUR6" localSheetId="16" hidden="1">#REF!</definedName>
    <definedName name="BExW08MEDLGNM5Z5KYW1HQXCBUR6" localSheetId="20" hidden="1">#REF!</definedName>
    <definedName name="BExW08MEDLGNM5Z5KYW1HQXCBUR6" hidden="1">#REF!</definedName>
    <definedName name="BExW0CIO5SH0TQLZQ1VMKX3JZ7NW" localSheetId="20" hidden="1">#REF!</definedName>
    <definedName name="BExW0CIO5SH0TQLZQ1VMKX3JZ7NW" hidden="1">#REF!</definedName>
    <definedName name="BExW0FYP4WXY71CYUG40SUBG9UWU" localSheetId="20" hidden="1">#REF!</definedName>
    <definedName name="BExW0FYP4WXY71CYUG40SUBG9UWU" hidden="1">#REF!</definedName>
    <definedName name="BExW0RI61B4VV0ARXTFVBAWRA1C5" localSheetId="20" hidden="1">#REF!</definedName>
    <definedName name="BExW0RI61B4VV0ARXTFVBAWRA1C5" hidden="1">#REF!</definedName>
    <definedName name="BExW0VZZ6WSKCTPUWLYP7VEYJM10" localSheetId="20" hidden="1">#REF!</definedName>
    <definedName name="BExW0VZZ6WSKCTPUWLYP7VEYJM10" hidden="1">#REF!</definedName>
    <definedName name="BExW0ZFYUNZUIMD4ETNZWCS9T0CT" localSheetId="20" hidden="1">#REF!</definedName>
    <definedName name="BExW0ZFYUNZUIMD4ETNZWCS9T0CT" hidden="1">#REF!</definedName>
    <definedName name="BExW1BVUYQTKMOR56MW7RVRX4L1L" localSheetId="20" hidden="1">#REF!</definedName>
    <definedName name="BExW1BVUYQTKMOR56MW7RVRX4L1L" hidden="1">#REF!</definedName>
    <definedName name="BExW1F1220628FOMTW5UAATHRJHK" localSheetId="20" hidden="1">#REF!</definedName>
    <definedName name="BExW1F1220628FOMTW5UAATHRJHK" hidden="1">#REF!</definedName>
    <definedName name="BExW1K4I0JZH96X4HFQY6YAMIG60" localSheetId="20" hidden="1">#REF!</definedName>
    <definedName name="BExW1K4I0JZH96X4HFQY6YAMIG60" hidden="1">#REF!</definedName>
    <definedName name="BExW1TKA0Z9OP2DTG50GZR5EG8C7" localSheetId="20" hidden="1">#REF!</definedName>
    <definedName name="BExW1TKA0Z9OP2DTG50GZR5EG8C7" hidden="1">#REF!</definedName>
    <definedName name="BExW1U0JLKQ094DW5MMOI8UHO09V" localSheetId="20" hidden="1">#REF!</definedName>
    <definedName name="BExW1U0JLKQ094DW5MMOI8UHO09V" hidden="1">#REF!</definedName>
    <definedName name="BExW1WUZ349YPJVAKCEJO07L4NFW" localSheetId="20" hidden="1">#REF!</definedName>
    <definedName name="BExW1WUZ349YPJVAKCEJO07L4NFW" hidden="1">#REF!</definedName>
    <definedName name="BExW21T2WD1YDR47I9BWVRGJZMKW" localSheetId="20" hidden="1">'[38]10.08.3 - 2008 Expense - TDBU'!#REF!</definedName>
    <definedName name="BExW21T2WD1YDR47I9BWVRGJZMKW" hidden="1">'[38]10.08.3 - 2008 Expense - TDBU'!#REF!</definedName>
    <definedName name="BExW24NI0GQA13RVEGFK7ISS512B" localSheetId="15" hidden="1">#REF!</definedName>
    <definedName name="BExW24NI0GQA13RVEGFK7ISS512B" localSheetId="16" hidden="1">#REF!</definedName>
    <definedName name="BExW24NI0GQA13RVEGFK7ISS512B" localSheetId="20" hidden="1">#REF!</definedName>
    <definedName name="BExW24NI0GQA13RVEGFK7ISS512B" hidden="1">#REF!</definedName>
    <definedName name="BExW283NP9D366XFPXLGSCI5UB0L" localSheetId="20" hidden="1">#REF!</definedName>
    <definedName name="BExW283NP9D366XFPXLGSCI5UB0L" hidden="1">#REF!</definedName>
    <definedName name="BExW2F54PEPPIGMV5I4XLXMKJOTG" localSheetId="20" hidden="1">#REF!</definedName>
    <definedName name="BExW2F54PEPPIGMV5I4XLXMKJOTG" hidden="1">#REF!</definedName>
    <definedName name="BExW2H3C8WJSBW5FGTFKVDVJC4CL" localSheetId="20" hidden="1">#REF!</definedName>
    <definedName name="BExW2H3C8WJSBW5FGTFKVDVJC4CL" hidden="1">#REF!</definedName>
    <definedName name="BExW2MSCKPGF5K3I7TL4KF5ISUOL" localSheetId="20" hidden="1">#REF!</definedName>
    <definedName name="BExW2MSCKPGF5K3I7TL4KF5ISUOL" hidden="1">#REF!</definedName>
    <definedName name="BExW2SMO90FU9W8DVVES6Q4E6BZR" localSheetId="20" hidden="1">#REF!</definedName>
    <definedName name="BExW2SMO90FU9W8DVVES6Q4E6BZR" hidden="1">#REF!</definedName>
    <definedName name="BExW2V0ZEMESP2BVDJGZFBJOIOIQ" localSheetId="20" hidden="1">'[38]10.08.5 - 2008 Capital - TDBU'!#REF!</definedName>
    <definedName name="BExW2V0ZEMESP2BVDJGZFBJOIOIQ" hidden="1">'[38]10.08.5 - 2008 Capital - TDBU'!#REF!</definedName>
    <definedName name="BExW36V9N91OHCUMGWJQL3I5P4JK" localSheetId="15" hidden="1">#REF!</definedName>
    <definedName name="BExW36V9N91OHCUMGWJQL3I5P4JK" localSheetId="16" hidden="1">#REF!</definedName>
    <definedName name="BExW36V9N91OHCUMGWJQL3I5P4JK" localSheetId="20" hidden="1">#REF!</definedName>
    <definedName name="BExW36V9N91OHCUMGWJQL3I5P4JK" hidden="1">#REF!</definedName>
    <definedName name="BExW3EIBA1J9Q9NA9VCGZGRS8WV7" localSheetId="20" hidden="1">#REF!</definedName>
    <definedName name="BExW3EIBA1J9Q9NA9VCGZGRS8WV7" hidden="1">#REF!</definedName>
    <definedName name="BExW3FEO8FI8N6AGQKYEG4SQVJWB" localSheetId="20" hidden="1">#REF!</definedName>
    <definedName name="BExW3FEO8FI8N6AGQKYEG4SQVJWB" hidden="1">#REF!</definedName>
    <definedName name="BExW3GB28STOMJUSZEIA7YKYNS4Y" localSheetId="20" hidden="1">#REF!</definedName>
    <definedName name="BExW3GB28STOMJUSZEIA7YKYNS4Y" hidden="1">#REF!</definedName>
    <definedName name="BExW3T1K638HT5E0Y8MMK108P5JT" localSheetId="20" hidden="1">#REF!</definedName>
    <definedName name="BExW3T1K638HT5E0Y8MMK108P5JT" hidden="1">#REF!</definedName>
    <definedName name="BExW4217ZHL9VO39POSTJOD090WU" localSheetId="20" hidden="1">#REF!</definedName>
    <definedName name="BExW4217ZHL9VO39POSTJOD090WU" hidden="1">#REF!</definedName>
    <definedName name="BExW4GPW71EBF8XPS2QGVQHBCDX3" localSheetId="20" hidden="1">#REF!</definedName>
    <definedName name="BExW4GPW71EBF8XPS2QGVQHBCDX3" hidden="1">#REF!</definedName>
    <definedName name="BExW4JKC5837JBPCOJV337ZVYYY3" localSheetId="20" hidden="1">#REF!</definedName>
    <definedName name="BExW4JKC5837JBPCOJV337ZVYYY3" hidden="1">#REF!</definedName>
    <definedName name="BExW4MPQ2JLA196HW39IPT3Q6JVK" localSheetId="20" hidden="1">#REF!</definedName>
    <definedName name="BExW4MPQ2JLA196HW39IPT3Q6JVK" hidden="1">#REF!</definedName>
    <definedName name="BExW4MV5UH4OKNB95Q2AO7LFASBP" localSheetId="20" hidden="1">#REF!</definedName>
    <definedName name="BExW4MV5UH4OKNB95Q2AO7LFASBP" hidden="1">#REF!</definedName>
    <definedName name="BExW4QR9FV9MP5K610THBSM51RYO" localSheetId="20" hidden="1">#REF!</definedName>
    <definedName name="BExW4QR9FV9MP5K610THBSM51RYO" hidden="1">#REF!</definedName>
    <definedName name="BExW4T5M43NPIJS54VL6SZAENBOE" localSheetId="20" hidden="1">#REF!</definedName>
    <definedName name="BExW4T5M43NPIJS54VL6SZAENBOE" hidden="1">#REF!</definedName>
    <definedName name="BExW4Z029R9E19ZENN3WEA3VDAD1" localSheetId="20" hidden="1">#REF!</definedName>
    <definedName name="BExW4Z029R9E19ZENN3WEA3VDAD1" hidden="1">#REF!</definedName>
    <definedName name="BExW51EDOYXJBXR5AFJCYTA7JI06" localSheetId="20" hidden="1">#REF!</definedName>
    <definedName name="BExW51EDOYXJBXR5AFJCYTA7JI06" hidden="1">#REF!</definedName>
    <definedName name="BExW5AZNT6IAZGNF2C879ODHY1B8" localSheetId="20" hidden="1">#REF!</definedName>
    <definedName name="BExW5AZNT6IAZGNF2C879ODHY1B8" hidden="1">#REF!</definedName>
    <definedName name="BExW5VTHC5GDYD5M9B4Q0FUY7OBA" localSheetId="20" hidden="1">#REF!</definedName>
    <definedName name="BExW5VTHC5GDYD5M9B4Q0FUY7OBA" hidden="1">#REF!</definedName>
    <definedName name="BExW5W48S3UI5UJMSXULAD20EMCG" localSheetId="20" hidden="1">#REF!</definedName>
    <definedName name="BExW5W48S3UI5UJMSXULAD20EMCG" hidden="1">#REF!</definedName>
    <definedName name="BExW5WPU27WD4NWZOT0ZEJIDLX5J" localSheetId="20" hidden="1">#REF!</definedName>
    <definedName name="BExW5WPU27WD4NWZOT0ZEJIDLX5J" hidden="1">#REF!</definedName>
    <definedName name="BExW5YYNT0AJF2AFS43IFCHR7WQQ" localSheetId="20" hidden="1">'[38]10.08.2 - 2008 Expense'!#REF!</definedName>
    <definedName name="BExW5YYNT0AJF2AFS43IFCHR7WQQ" hidden="1">'[38]10.08.2 - 2008 Expense'!#REF!</definedName>
    <definedName name="BExW660AV1TUV2XNUPD65RZR3QOO" localSheetId="15" hidden="1">#REF!</definedName>
    <definedName name="BExW660AV1TUV2XNUPD65RZR3QOO" localSheetId="16" hidden="1">#REF!</definedName>
    <definedName name="BExW660AV1TUV2XNUPD65RZR3QOO" localSheetId="20" hidden="1">#REF!</definedName>
    <definedName name="BExW660AV1TUV2XNUPD65RZR3QOO" hidden="1">#REF!</definedName>
    <definedName name="BExW66LVVZK656PQY1257QMHP2AY" localSheetId="20" hidden="1">#REF!</definedName>
    <definedName name="BExW66LVVZK656PQY1257QMHP2AY" hidden="1">#REF!</definedName>
    <definedName name="BExW6EJPHAP1TWT380AZLXNHR22P" localSheetId="20" hidden="1">#REF!</definedName>
    <definedName name="BExW6EJPHAP1TWT380AZLXNHR22P" hidden="1">#REF!</definedName>
    <definedName name="BExW6G1PJ38H10DVLL8WPQ736OEB" localSheetId="20" hidden="1">#REF!</definedName>
    <definedName name="BExW6G1PJ38H10DVLL8WPQ736OEB" hidden="1">#REF!</definedName>
    <definedName name="BExW6TU0OMFLMCB6EWBOQSGHUMX5" localSheetId="20" hidden="1">#REF!</definedName>
    <definedName name="BExW6TU0OMFLMCB6EWBOQSGHUMX5" hidden="1">#REF!</definedName>
    <definedName name="BExW6VBYODJKTS0FMZ47EQS9FUF2" localSheetId="20" hidden="1">#REF!</definedName>
    <definedName name="BExW6VBYODJKTS0FMZ47EQS9FUF2" hidden="1">#REF!</definedName>
    <definedName name="BExW6WZDUEZS3JDTHC8X310LL1OU" localSheetId="20" hidden="1">#REF!</definedName>
    <definedName name="BExW6WZDUEZS3JDTHC8X310LL1OU" hidden="1">#REF!</definedName>
    <definedName name="BExW76F60TD8OIAVEJQE3MX4PLDY" localSheetId="20" hidden="1">#REF!</definedName>
    <definedName name="BExW76F60TD8OIAVEJQE3MX4PLDY" hidden="1">#REF!</definedName>
    <definedName name="BExW782GMQD1F9JJSPQU5QT2TWON" localSheetId="20" hidden="1">#REF!</definedName>
    <definedName name="BExW782GMQD1F9JJSPQU5QT2TWON" hidden="1">#REF!</definedName>
    <definedName name="BExW794A74Z5F2K8LVQLD6VSKXUE" localSheetId="20" hidden="1">#REF!</definedName>
    <definedName name="BExW794A74Z5F2K8LVQLD6VSKXUE" hidden="1">#REF!</definedName>
    <definedName name="BExW7DBCHP0SWYSW2RKLS8IBPCVS" localSheetId="20" hidden="1">#REF!</definedName>
    <definedName name="BExW7DBCHP0SWYSW2RKLS8IBPCVS" hidden="1">#REF!</definedName>
    <definedName name="BExW7S00X50K2O0H0GL7P3JROGG6" localSheetId="20" hidden="1">#REF!</definedName>
    <definedName name="BExW7S00X50K2O0H0GL7P3JROGG6" hidden="1">#REF!</definedName>
    <definedName name="BExW81FSTXQA1A81CD1MVDX6257O" localSheetId="20" hidden="1">#REF!</definedName>
    <definedName name="BExW81FSTXQA1A81CD1MVDX6257O" hidden="1">#REF!</definedName>
    <definedName name="BExW82C756R4HC5DTN5Z29F0D3QO" localSheetId="20" hidden="1">'[38]10.08.3 - 2008 Expense - TDBU'!#REF!</definedName>
    <definedName name="BExW82C756R4HC5DTN5Z29F0D3QO" hidden="1">'[38]10.08.3 - 2008 Expense - TDBU'!#REF!</definedName>
    <definedName name="BExW87VVJSJLAJQQHUHH974N4MAO" localSheetId="15" hidden="1">#REF!</definedName>
    <definedName name="BExW87VVJSJLAJQQHUHH974N4MAO" localSheetId="16" hidden="1">#REF!</definedName>
    <definedName name="BExW87VVJSJLAJQQHUHH974N4MAO" localSheetId="20" hidden="1">#REF!</definedName>
    <definedName name="BExW87VVJSJLAJQQHUHH974N4MAO" hidden="1">#REF!</definedName>
    <definedName name="BExW8COJI4803WMVPHGL8240OBIU" localSheetId="20" hidden="1">#REF!</definedName>
    <definedName name="BExW8COJI4803WMVPHGL8240OBIU" hidden="1">#REF!</definedName>
    <definedName name="BExW8K0SSIPSKBVP06IJ71600HJZ" localSheetId="20" hidden="1">#REF!</definedName>
    <definedName name="BExW8K0SSIPSKBVP06IJ71600HJZ" hidden="1">#REF!</definedName>
    <definedName name="BExW8NM8DJJESE7GF7VGTO2XO6P1" localSheetId="20" hidden="1">#REF!</definedName>
    <definedName name="BExW8NM8DJJESE7GF7VGTO2XO6P1" hidden="1">#REF!</definedName>
    <definedName name="BExW8P9O4HQC1Y372I0HCCBVKNTO" localSheetId="20" hidden="1">#REF!</definedName>
    <definedName name="BExW8P9O4HQC1Y372I0HCCBVKNTO" hidden="1">#REF!</definedName>
    <definedName name="BExW8T0GVY3ZYO4ACSBLHS8SH895" localSheetId="20" hidden="1">#REF!</definedName>
    <definedName name="BExW8T0GVY3ZYO4ACSBLHS8SH895" hidden="1">#REF!</definedName>
    <definedName name="BExW8YEP73JMMU9HZ08PM4WHJQZ4" localSheetId="20" hidden="1">#REF!</definedName>
    <definedName name="BExW8YEP73JMMU9HZ08PM4WHJQZ4" hidden="1">#REF!</definedName>
    <definedName name="BExW937AT53OZQRHNWQZ5BVH24IE" localSheetId="20" hidden="1">#REF!</definedName>
    <definedName name="BExW937AT53OZQRHNWQZ5BVH24IE" hidden="1">#REF!</definedName>
    <definedName name="BExW95LN5N0LYFFVP7GJEGDVDLF0" localSheetId="20" hidden="1">#REF!</definedName>
    <definedName name="BExW95LN5N0LYFFVP7GJEGDVDLF0" hidden="1">#REF!</definedName>
    <definedName name="BExW967733Q8RAJOHR2GJ3HO8JIW" localSheetId="20" hidden="1">#REF!</definedName>
    <definedName name="BExW967733Q8RAJOHR2GJ3HO8JIW" hidden="1">#REF!</definedName>
    <definedName name="BExW9OHD0PA2FFDEECR0C4SFBRVS" localSheetId="20" hidden="1">#REF!</definedName>
    <definedName name="BExW9OHD0PA2FFDEECR0C4SFBRVS" hidden="1">#REF!</definedName>
    <definedName name="BExW9POK1KIOI0ALS5MZIKTDIYMA" localSheetId="20" hidden="1">#REF!</definedName>
    <definedName name="BExW9POK1KIOI0ALS5MZIKTDIYMA" hidden="1">#REF!</definedName>
    <definedName name="BExW9TVLB7OIHTG98I7I4EXBL61S" localSheetId="20" hidden="1">#REF!</definedName>
    <definedName name="BExW9TVLB7OIHTG98I7I4EXBL61S" hidden="1">#REF!</definedName>
    <definedName name="BExXL0I7INHGEJWJ97OQTEJKJUBR" localSheetId="20" hidden="1">#REF!</definedName>
    <definedName name="BExXL0I7INHGEJWJ97OQTEJKJUBR" hidden="1">#REF!</definedName>
    <definedName name="BExXLDE6PN4ESWT3LXJNQCY94NE4" localSheetId="20" hidden="1">#REF!</definedName>
    <definedName name="BExXLDE6PN4ESWT3LXJNQCY94NE4" hidden="1">#REF!</definedName>
    <definedName name="BExXLQVPK2H3IF0NDDA5CT612EUK" localSheetId="20" hidden="1">#REF!</definedName>
    <definedName name="BExXLQVPK2H3IF0NDDA5CT612EUK" hidden="1">#REF!</definedName>
    <definedName name="BExXLR6IO70TYTACKQH9M5PGV24J" localSheetId="20" hidden="1">#REF!</definedName>
    <definedName name="BExXLR6IO70TYTACKQH9M5PGV24J" hidden="1">#REF!</definedName>
    <definedName name="BExXM065WOLYRYHGHOJE0OOFXA4M" localSheetId="20" hidden="1">#REF!</definedName>
    <definedName name="BExXM065WOLYRYHGHOJE0OOFXA4M" hidden="1">#REF!</definedName>
    <definedName name="BExXM3GUNXVDM82KUR17NNUMQCNI" localSheetId="20" hidden="1">#REF!</definedName>
    <definedName name="BExXM3GUNXVDM82KUR17NNUMQCNI" hidden="1">#REF!</definedName>
    <definedName name="BExXMA28M8SH7MKIGETSDA72WUIZ" localSheetId="20" hidden="1">#REF!</definedName>
    <definedName name="BExXMA28M8SH7MKIGETSDA72WUIZ" hidden="1">#REF!</definedName>
    <definedName name="BExXMOLHIAHDLFSA31PUB36SC3I9" localSheetId="20" hidden="1">#REF!</definedName>
    <definedName name="BExXMOLHIAHDLFSA31PUB36SC3I9" hidden="1">#REF!</definedName>
    <definedName name="BExXMT8T5Z3M2JBQN65X2LKH0YQI" localSheetId="20" hidden="1">#REF!</definedName>
    <definedName name="BExXMT8T5Z3M2JBQN65X2LKH0YQI" hidden="1">#REF!</definedName>
    <definedName name="BExXN1XNO7H60M9X1E7EVWFJDM5N" localSheetId="20" hidden="1">#REF!</definedName>
    <definedName name="BExXN1XNO7H60M9X1E7EVWFJDM5N" hidden="1">#REF!</definedName>
    <definedName name="BExXN22ZOTIW49GPLWFYKVM90FNZ" localSheetId="20" hidden="1">#REF!</definedName>
    <definedName name="BExXN22ZOTIW49GPLWFYKVM90FNZ" hidden="1">#REF!</definedName>
    <definedName name="BExXN4C031W9DK73MJHKL8YT1QA8" localSheetId="20" hidden="1">#REF!</definedName>
    <definedName name="BExXN4C031W9DK73MJHKL8YT1QA8" hidden="1">#REF!</definedName>
    <definedName name="BExXN6QAP8UJQVN4R4BQKPP4QK35" localSheetId="20" hidden="1">#REF!</definedName>
    <definedName name="BExXN6QAP8UJQVN4R4BQKPP4QK35" hidden="1">#REF!</definedName>
    <definedName name="BExXNBOA39T2X6Y5Y5GZ5DDNA1AX" localSheetId="20" hidden="1">#REF!</definedName>
    <definedName name="BExXNBOA39T2X6Y5Y5GZ5DDNA1AX" hidden="1">#REF!</definedName>
    <definedName name="BExXNCVFNFROM6X4XZABZ1M55JVL" localSheetId="20" hidden="1">#REF!</definedName>
    <definedName name="BExXNCVFNFROM6X4XZABZ1M55JVL" hidden="1">#REF!</definedName>
    <definedName name="BExXND6872VJ3M2PGT056WQMWBHD" localSheetId="20" hidden="1">#REF!</definedName>
    <definedName name="BExXND6872VJ3M2PGT056WQMWBHD" hidden="1">#REF!</definedName>
    <definedName name="BExXNPM24UN2PGVL9D1TUBFRIKR4" localSheetId="20" hidden="1">#REF!</definedName>
    <definedName name="BExXNPM24UN2PGVL9D1TUBFRIKR4" hidden="1">#REF!</definedName>
    <definedName name="BExXNWYB165VO9MHARCL5WLCHWS0" localSheetId="20" hidden="1">#REF!</definedName>
    <definedName name="BExXNWYB165VO9MHARCL5WLCHWS0" hidden="1">#REF!</definedName>
    <definedName name="BExXNYLR0NNRQQBQ09OAWL5SFA2P" localSheetId="20" hidden="1">#REF!</definedName>
    <definedName name="BExXNYLR0NNRQQBQ09OAWL5SFA2P" hidden="1">#REF!</definedName>
    <definedName name="BExXO278QHQN8JDK5425EJ615ECC" localSheetId="20" hidden="1">#REF!</definedName>
    <definedName name="BExXO278QHQN8JDK5425EJ615ECC" hidden="1">#REF!</definedName>
    <definedName name="BExXO574BHMI9HN803IPJ8B00ZQ1" localSheetId="20" hidden="1">#REF!</definedName>
    <definedName name="BExXO574BHMI9HN803IPJ8B00ZQ1" hidden="1">#REF!</definedName>
    <definedName name="BExXO81JZ0ARONLA93VY8VLBDM3Z" localSheetId="20" hidden="1">#REF!</definedName>
    <definedName name="BExXO81JZ0ARONLA93VY8VLBDM3Z" hidden="1">#REF!</definedName>
    <definedName name="BExXOBHOP0WGFHI2Y9AO4L440UVQ" localSheetId="20" hidden="1">#REF!</definedName>
    <definedName name="BExXOBHOP0WGFHI2Y9AO4L440UVQ" hidden="1">#REF!</definedName>
    <definedName name="BExXOHSAD2NSHOLLMZ2JWA4I3I1R" localSheetId="20" hidden="1">#REF!</definedName>
    <definedName name="BExXOHSAD2NSHOLLMZ2JWA4I3I1R" hidden="1">#REF!</definedName>
    <definedName name="BExXOIDP4V2QCBHG5KQQO9VT0HDH" localSheetId="20" hidden="1">#REF!</definedName>
    <definedName name="BExXOIDP4V2QCBHG5KQQO9VT0HDH" hidden="1">#REF!</definedName>
    <definedName name="BExXOMQ7TBU2AJ03HNGNVCK9S4VM" localSheetId="20" hidden="1">#REF!</definedName>
    <definedName name="BExXOMQ7TBU2AJ03HNGNVCK9S4VM" hidden="1">#REF!</definedName>
    <definedName name="BExXP49C9Y3U7LWFBFCQSE4WPWHA" localSheetId="20" hidden="1">#REF!</definedName>
    <definedName name="BExXP49C9Y3U7LWFBFCQSE4WPWHA" hidden="1">#REF!</definedName>
    <definedName name="BExXP80B5FGA00JCM7UXKPI3PB7Y" localSheetId="20" hidden="1">#REF!</definedName>
    <definedName name="BExXP80B5FGA00JCM7UXKPI3PB7Y" hidden="1">#REF!</definedName>
    <definedName name="BExXP85M4WXYVN1UVHUTOEKEG5XS" localSheetId="20" hidden="1">#REF!</definedName>
    <definedName name="BExXP85M4WXYVN1UVHUTOEKEG5XS" hidden="1">#REF!</definedName>
    <definedName name="BExXPELOTHOAG0OWILLAH94OZV5J" localSheetId="20" hidden="1">#REF!</definedName>
    <definedName name="BExXPELOTHOAG0OWILLAH94OZV5J" hidden="1">#REF!</definedName>
    <definedName name="BExXPEWH9AJE234H90KL5ICZZ0IS" localSheetId="20" hidden="1">#REF!</definedName>
    <definedName name="BExXPEWH9AJE234H90KL5ICZZ0IS" hidden="1">#REF!</definedName>
    <definedName name="BExXPS31W1VD2NMIE4E37LHVDF0L" localSheetId="20" hidden="1">#REF!</definedName>
    <definedName name="BExXPS31W1VD2NMIE4E37LHVDF0L" hidden="1">#REF!</definedName>
    <definedName name="BExXPZKYEMVF5JOC14HYOOYQK6JK" localSheetId="20" hidden="1">#REF!</definedName>
    <definedName name="BExXPZKYEMVF5JOC14HYOOYQK6JK" hidden="1">#REF!</definedName>
    <definedName name="BExXQ12Q21G0KAAP7BK68KNBBDMH" localSheetId="20" hidden="1">#REF!</definedName>
    <definedName name="BExXQ12Q21G0KAAP7BK68KNBBDMH" hidden="1">#REF!</definedName>
    <definedName name="BExXQ72J3O85VF3MRWYM7RCY6B7A" localSheetId="20" hidden="1">#REF!</definedName>
    <definedName name="BExXQ72J3O85VF3MRWYM7RCY6B7A" hidden="1">#REF!</definedName>
    <definedName name="BExXQ89PA10X79WBWOEP1AJX1OQM" localSheetId="20" hidden="1">#REF!</definedName>
    <definedName name="BExXQ89PA10X79WBWOEP1AJX1OQM" hidden="1">#REF!</definedName>
    <definedName name="BExXQCGQGGYSI0LTRVR73MUO50AW" localSheetId="20" hidden="1">#REF!</definedName>
    <definedName name="BExXQCGQGGYSI0LTRVR73MUO50AW" hidden="1">#REF!</definedName>
    <definedName name="BExXQD2B3434GXJT0U2OVW30R5K6" localSheetId="20" hidden="1">#REF!</definedName>
    <definedName name="BExXQD2B3434GXJT0U2OVW30R5K6" hidden="1">#REF!</definedName>
    <definedName name="BExXQEEXFHDQ8DSRAJSB5ET6J004" localSheetId="20" hidden="1">#REF!</definedName>
    <definedName name="BExXQEEXFHDQ8DSRAJSB5ET6J004" hidden="1">#REF!</definedName>
    <definedName name="BExXQH41O5HZAH8BO6HCFY8YC3TU" localSheetId="20" hidden="1">#REF!</definedName>
    <definedName name="BExXQH41O5HZAH8BO6HCFY8YC3TU" hidden="1">#REF!</definedName>
    <definedName name="BExXQIRBLQSLAJTFL7224FCFUTKH" localSheetId="20" hidden="1">#REF!</definedName>
    <definedName name="BExXQIRBLQSLAJTFL7224FCFUTKH" hidden="1">#REF!</definedName>
    <definedName name="BExXQJIEF5R3QQ6D8HO3NGPU0IQC" localSheetId="20" hidden="1">#REF!</definedName>
    <definedName name="BExXQJIEF5R3QQ6D8HO3NGPU0IQC" hidden="1">#REF!</definedName>
    <definedName name="BExXQU00K9ER4I1WM7T9J0W1E7ZC" localSheetId="20" hidden="1">#REF!</definedName>
    <definedName name="BExXQU00K9ER4I1WM7T9J0W1E7ZC" hidden="1">#REF!</definedName>
    <definedName name="BExXQU00KOR7XLM8B13DGJ1MIQDY" localSheetId="20" hidden="1">#REF!</definedName>
    <definedName name="BExXQU00KOR7XLM8B13DGJ1MIQDY" hidden="1">#REF!</definedName>
    <definedName name="BExXQXG18PS8HGBOS03OSTQ0KEYC" localSheetId="20" hidden="1">#REF!</definedName>
    <definedName name="BExXQXG18PS8HGBOS03OSTQ0KEYC" hidden="1">#REF!</definedName>
    <definedName name="BExXQXQT4OAFQT5B0YB3USDJOJOB" localSheetId="20" hidden="1">#REF!</definedName>
    <definedName name="BExXQXQT4OAFQT5B0YB3USDJOJOB" hidden="1">#REF!</definedName>
    <definedName name="BExXR3FSEXAHSXEQNJORWFCPX86N" localSheetId="20" hidden="1">#REF!</definedName>
    <definedName name="BExXR3FSEXAHSXEQNJORWFCPX86N" hidden="1">#REF!</definedName>
    <definedName name="BExXR3W3FKYQBLR299HO9RZ70C43" localSheetId="20" hidden="1">#REF!</definedName>
    <definedName name="BExXR3W3FKYQBLR299HO9RZ70C43" hidden="1">#REF!</definedName>
    <definedName name="BExXR46U23CRRBV6IZT982MAEQKI" localSheetId="20" hidden="1">#REF!</definedName>
    <definedName name="BExXR46U23CRRBV6IZT982MAEQKI" hidden="1">#REF!</definedName>
    <definedName name="BExXR8OKAVX7O70V5IYG2PRKXSTI" localSheetId="20" hidden="1">#REF!</definedName>
    <definedName name="BExXR8OKAVX7O70V5IYG2PRKXSTI" hidden="1">#REF!</definedName>
    <definedName name="BExXRA6N6XCLQM6XDV724ZIH6G93" localSheetId="20" hidden="1">#REF!</definedName>
    <definedName name="BExXRA6N6XCLQM6XDV724ZIH6G93" hidden="1">#REF!</definedName>
    <definedName name="BExXRABZ1CNKCG6K1MR6OUFHF7J9" localSheetId="20" hidden="1">#REF!</definedName>
    <definedName name="BExXRABZ1CNKCG6K1MR6OUFHF7J9" hidden="1">#REF!</definedName>
    <definedName name="BExXRBOFETC0OTJ6WY3VPMFH03VB" localSheetId="20" hidden="1">#REF!</definedName>
    <definedName name="BExXRBOFETC0OTJ6WY3VPMFH03VB" hidden="1">#REF!</definedName>
    <definedName name="BExXRD13K1S9Y3JGR7CXSONT7RJZ" localSheetId="20" hidden="1">#REF!</definedName>
    <definedName name="BExXRD13K1S9Y3JGR7CXSONT7RJZ" hidden="1">#REF!</definedName>
    <definedName name="BExXRIFB4QQ87QIGA9AG0NXP577K" localSheetId="20" hidden="1">#REF!</definedName>
    <definedName name="BExXRIFB4QQ87QIGA9AG0NXP577K" hidden="1">#REF!</definedName>
    <definedName name="BExXRIQ2JF2CVTRDQX2D9SPH7FTN" localSheetId="20" hidden="1">#REF!</definedName>
    <definedName name="BExXRIQ2JF2CVTRDQX2D9SPH7FTN" hidden="1">#REF!</definedName>
    <definedName name="BExXRL4ETKGR5B08IWLV5UKWS07Z" localSheetId="20" hidden="1">#REF!</definedName>
    <definedName name="BExXRL4ETKGR5B08IWLV5UKWS07Z" hidden="1">#REF!</definedName>
    <definedName name="BExXRO4A6VUH1F4XV8N1BRJ4896W" localSheetId="20" hidden="1">#REF!</definedName>
    <definedName name="BExXRO4A6VUH1F4XV8N1BRJ4896W" hidden="1">#REF!</definedName>
    <definedName name="BExXRO9N1SNJZGKD90P4K7FU1J0P" localSheetId="20" hidden="1">#REF!</definedName>
    <definedName name="BExXRO9N1SNJZGKD90P4K7FU1J0P" hidden="1">#REF!</definedName>
    <definedName name="BExXRR9I9RZJSO66K1CB8R2H3ACH" localSheetId="20" hidden="1">#REF!</definedName>
    <definedName name="BExXRR9I9RZJSO66K1CB8R2H3ACH" hidden="1">#REF!</definedName>
    <definedName name="BExXRV5QP3Z0KAQ1EQT9JYT2FV0L" localSheetId="20" hidden="1">#REF!</definedName>
    <definedName name="BExXRV5QP3Z0KAQ1EQT9JYT2FV0L" hidden="1">#REF!</definedName>
    <definedName name="BExXRZ20LZZCW8LVGDK0XETOTSAI" localSheetId="20" hidden="1">#REF!</definedName>
    <definedName name="BExXRZ20LZZCW8LVGDK0XETOTSAI" hidden="1">#REF!</definedName>
    <definedName name="BExXRZNM651EJ5HJPGKGTVYLAZQ1" localSheetId="20" hidden="1">#REF!</definedName>
    <definedName name="BExXRZNM651EJ5HJPGKGTVYLAZQ1" hidden="1">#REF!</definedName>
    <definedName name="BExXS63O4OMWMNXXAODZQFSDG33N" localSheetId="20" hidden="1">#REF!</definedName>
    <definedName name="BExXS63O4OMWMNXXAODZQFSDG33N" hidden="1">#REF!</definedName>
    <definedName name="BExXS8HZ90IK9RD5CZ6M2XT64C3R" localSheetId="20" hidden="1">#REF!</definedName>
    <definedName name="BExXS8HZ90IK9RD5CZ6M2XT64C3R" hidden="1">#REF!</definedName>
    <definedName name="BExXSBSP1TOY051HSPEPM0AEIO2M" localSheetId="20" hidden="1">#REF!</definedName>
    <definedName name="BExXSBSP1TOY051HSPEPM0AEIO2M" hidden="1">#REF!</definedName>
    <definedName name="BExXSC8RFK5D68FJD2HI4K66SA6I" localSheetId="20" hidden="1">#REF!</definedName>
    <definedName name="BExXSC8RFK5D68FJD2HI4K66SA6I" hidden="1">#REF!</definedName>
    <definedName name="BExXSGW487JM8X45CILCD3ELADND" localSheetId="20" hidden="1">#REF!</definedName>
    <definedName name="BExXSGW487JM8X45CILCD3ELADND" hidden="1">#REF!</definedName>
    <definedName name="BExXSJA8FX6FL775LX7EDM4LQ4ZF" localSheetId="20" hidden="1">#REF!</definedName>
    <definedName name="BExXSJA8FX6FL775LX7EDM4LQ4ZF" hidden="1">#REF!</definedName>
    <definedName name="BExXSNHC88W4UMXEOIOOATJAIKZO" localSheetId="20" hidden="1">#REF!</definedName>
    <definedName name="BExXSNHC88W4UMXEOIOOATJAIKZO" hidden="1">#REF!</definedName>
    <definedName name="BExXSTBS08WIA9TLALV3UQ2Z3MRG" localSheetId="20" hidden="1">#REF!</definedName>
    <definedName name="BExXSTBS08WIA9TLALV3UQ2Z3MRG" hidden="1">#REF!</definedName>
    <definedName name="BExXSVQ2WOJJ73YEO8Q2FK60V4G8" localSheetId="20" hidden="1">#REF!</definedName>
    <definedName name="BExXSVQ2WOJJ73YEO8Q2FK60V4G8" hidden="1">#REF!</definedName>
    <definedName name="BExXTHLRNL82GN7KZY3TOLO508N7" localSheetId="20" hidden="1">#REF!</definedName>
    <definedName name="BExXTHLRNL82GN7KZY3TOLO508N7" hidden="1">#REF!</definedName>
    <definedName name="BExXTL72MKEQSQH9L2OTFLU8DM2B" localSheetId="20" hidden="1">#REF!</definedName>
    <definedName name="BExXTL72MKEQSQH9L2OTFLU8DM2B" hidden="1">#REF!</definedName>
    <definedName name="BExXTM3M4RTCRSX7VGAXGQNPP668" localSheetId="20" hidden="1">#REF!</definedName>
    <definedName name="BExXTM3M4RTCRSX7VGAXGQNPP668" hidden="1">#REF!</definedName>
    <definedName name="BExXTOCF78J7WY6FOVBRY1N2RBBR" localSheetId="20" hidden="1">#REF!</definedName>
    <definedName name="BExXTOCF78J7WY6FOVBRY1N2RBBR" hidden="1">#REF!</definedName>
    <definedName name="BExXTP3GYO6Z9RTKKT10XA0UTV3T" localSheetId="20" hidden="1">#REF!</definedName>
    <definedName name="BExXTP3GYO6Z9RTKKT10XA0UTV3T" hidden="1">#REF!</definedName>
    <definedName name="BExXTRXWS5WKEYMU65AGIWPW8XMY" localSheetId="20" hidden="1">#REF!</definedName>
    <definedName name="BExXTRXWS5WKEYMU65AGIWPW8XMY" hidden="1">#REF!</definedName>
    <definedName name="BExXTYU24I49X78RIN9EOO9PMHSV" localSheetId="20" hidden="1">#REF!</definedName>
    <definedName name="BExXTYU24I49X78RIN9EOO9PMHSV" hidden="1">#REF!</definedName>
    <definedName name="BExXTZKZ4CG92ZQLIRKEXXH9BFIR" localSheetId="20" hidden="1">#REF!</definedName>
    <definedName name="BExXTZKZ4CG92ZQLIRKEXXH9BFIR" hidden="1">#REF!</definedName>
    <definedName name="BExXU4J2BM2964GD5UZHM752Q4NS" localSheetId="20" hidden="1">#REF!</definedName>
    <definedName name="BExXU4J2BM2964GD5UZHM752Q4NS" hidden="1">#REF!</definedName>
    <definedName name="BExXU6XDTT7RM93KILIDEYPA9XKF" localSheetId="20" hidden="1">#REF!</definedName>
    <definedName name="BExXU6XDTT7RM93KILIDEYPA9XKF" hidden="1">#REF!</definedName>
    <definedName name="BExXU8VLZA7WLPZ3RAQZGNERUD26" localSheetId="20" hidden="1">#REF!</definedName>
    <definedName name="BExXU8VLZA7WLPZ3RAQZGNERUD26" hidden="1">#REF!</definedName>
    <definedName name="BExXUB9RSLSCNN5ETLXY72DAPZZM" localSheetId="20" hidden="1">#REF!</definedName>
    <definedName name="BExXUB9RSLSCNN5ETLXY72DAPZZM" hidden="1">#REF!</definedName>
    <definedName name="BExXUFRM82XQIN2T8KGLDQL1IBQW" localSheetId="20" hidden="1">#REF!</definedName>
    <definedName name="BExXUFRM82XQIN2T8KGLDQL1IBQW" hidden="1">#REF!</definedName>
    <definedName name="BExXUQEQBF6FI240ZGIF9YXZSRAU" localSheetId="20" hidden="1">#REF!</definedName>
    <definedName name="BExXUQEQBF6FI240ZGIF9YXZSRAU" hidden="1">#REF!</definedName>
    <definedName name="BExXUVSXSP8ESN178IHNRRMIMOMT" localSheetId="20" hidden="1">#REF!</definedName>
    <definedName name="BExXUVSXSP8ESN178IHNRRMIMOMT" hidden="1">#REF!</definedName>
    <definedName name="BExXUYND6EJO7CJ5KRICV4O1JNWK" localSheetId="20" hidden="1">#REF!</definedName>
    <definedName name="BExXUYND6EJO7CJ5KRICV4O1JNWK" hidden="1">#REF!</definedName>
    <definedName name="BExXV1HYM7PSRL7FDSBCIW13Z2U3" localSheetId="20" hidden="1">#REF!</definedName>
    <definedName name="BExXV1HYM7PSRL7FDSBCIW13Z2U3" hidden="1">#REF!</definedName>
    <definedName name="BExXV6FWG4H3S2QEUJZYIXILNGJ7" localSheetId="20" hidden="1">#REF!</definedName>
    <definedName name="BExXV6FWG4H3S2QEUJZYIXILNGJ7" hidden="1">#REF!</definedName>
    <definedName name="BExXVCVYROMZMHARVU6MD514BMTF" localSheetId="20" hidden="1">#REF!</definedName>
    <definedName name="BExXVCVYROMZMHARVU6MD514BMTF" hidden="1">#REF!</definedName>
    <definedName name="BExXVGS1T0RO7HBN75IPQXATHZ23" localSheetId="20" hidden="1">#REF!</definedName>
    <definedName name="BExXVGS1T0RO7HBN75IPQXATHZ23" hidden="1">#REF!</definedName>
    <definedName name="BExXVK87BMMO6LHKV0CFDNIQVIBS" localSheetId="20" hidden="1">#REF!</definedName>
    <definedName name="BExXVK87BMMO6LHKV0CFDNIQVIBS" hidden="1">#REF!</definedName>
    <definedName name="BExXVKZ9WXPGL6IVY6T61IDD771I" localSheetId="20" hidden="1">#REF!</definedName>
    <definedName name="BExXVKZ9WXPGL6IVY6T61IDD771I" hidden="1">#REF!</definedName>
    <definedName name="BExXVUPU1FDA3CCHMAFE3SPCNSO2" localSheetId="20" hidden="1">#REF!</definedName>
    <definedName name="BExXVUPU1FDA3CCHMAFE3SPCNSO2" hidden="1">#REF!</definedName>
    <definedName name="BExXW0K72T1Y8K1I4VZT87UY9S2G" localSheetId="20" hidden="1">#REF!</definedName>
    <definedName name="BExXW0K72T1Y8K1I4VZT87UY9S2G" hidden="1">#REF!</definedName>
    <definedName name="BExXW27MMXHXUXX78SDTBE1JYTHT" localSheetId="20" hidden="1">#REF!</definedName>
    <definedName name="BExXW27MMXHXUXX78SDTBE1JYTHT" hidden="1">#REF!</definedName>
    <definedName name="BExXW2YIM2MYBSHRIX0RP9D4PRMN" localSheetId="20" hidden="1">#REF!</definedName>
    <definedName name="BExXW2YIM2MYBSHRIX0RP9D4PRMN" hidden="1">#REF!</definedName>
    <definedName name="BExXWBNE4KTFSXKVSRF6WX039WPB" localSheetId="20" hidden="1">#REF!</definedName>
    <definedName name="BExXWBNE4KTFSXKVSRF6WX039WPB" hidden="1">#REF!</definedName>
    <definedName name="BExXWFP5AYE7EHYTJWBZSQ8PQ0YX" localSheetId="20" hidden="1">#REF!</definedName>
    <definedName name="BExXWFP5AYE7EHYTJWBZSQ8PQ0YX" hidden="1">#REF!</definedName>
    <definedName name="BExXWSAAQ4VSVQZI0D2A8NTQ53VH" localSheetId="20" hidden="1">#REF!</definedName>
    <definedName name="BExXWSAAQ4VSVQZI0D2A8NTQ53VH" hidden="1">#REF!</definedName>
    <definedName name="BExXWVFIBQT8OY1O41FRFPFGXQHK" localSheetId="20" hidden="1">#REF!</definedName>
    <definedName name="BExXWVFIBQT8OY1O41FRFPFGXQHK" hidden="1">#REF!</definedName>
    <definedName name="BExXWWXHBZHA9J3N8K47F84X0M0L" localSheetId="20" hidden="1">#REF!</definedName>
    <definedName name="BExXWWXHBZHA9J3N8K47F84X0M0L" hidden="1">#REF!</definedName>
    <definedName name="BExXX7V6XV8D71NMUTIG4TUF6DF3" localSheetId="20" hidden="1">'[38]10.08.5 - 2008 Capital - TDBU'!#REF!</definedName>
    <definedName name="BExXX7V6XV8D71NMUTIG4TUF6DF3" hidden="1">'[38]10.08.5 - 2008 Capital - TDBU'!#REF!</definedName>
    <definedName name="BExXX9D3XK7CEZ9SI9UOA6F79ZPL" localSheetId="15" hidden="1">#REF!</definedName>
    <definedName name="BExXX9D3XK7CEZ9SI9UOA6F79ZPL" localSheetId="16" hidden="1">#REF!</definedName>
    <definedName name="BExXX9D3XK7CEZ9SI9UOA6F79ZPL" localSheetId="20" hidden="1">#REF!</definedName>
    <definedName name="BExXX9D3XK7CEZ9SI9UOA6F79ZPL" hidden="1">#REF!</definedName>
    <definedName name="BExXXBBCLDS7K2HB4LLGA6TTTXO3" localSheetId="20" hidden="1">#REF!</definedName>
    <definedName name="BExXXBBCLDS7K2HB4LLGA6TTTXO3" hidden="1">#REF!</definedName>
    <definedName name="BExXXBGNQF0HXLZNUFVN9AGYLRGU" localSheetId="20" hidden="1">#REF!</definedName>
    <definedName name="BExXXBGNQF0HXLZNUFVN9AGYLRGU" hidden="1">#REF!</definedName>
    <definedName name="BExXXBM521DL8R4ZX7NZ3DBCUOR5" localSheetId="20" hidden="1">#REF!</definedName>
    <definedName name="BExXXBM521DL8R4ZX7NZ3DBCUOR5" hidden="1">#REF!</definedName>
    <definedName name="BExXXC7OZI33XZ03NRMEP7VRLQK4" localSheetId="20" hidden="1">#REF!</definedName>
    <definedName name="BExXXC7OZI33XZ03NRMEP7VRLQK4" hidden="1">#REF!</definedName>
    <definedName name="BExXXH5N3NKBQ7BCJPJTBF8CYM2Q" localSheetId="20" hidden="1">#REF!</definedName>
    <definedName name="BExXXH5N3NKBQ7BCJPJTBF8CYM2Q" hidden="1">#REF!</definedName>
    <definedName name="BExXXKWLM4D541BH6O8GOJMHFHMW" localSheetId="20" hidden="1">#REF!</definedName>
    <definedName name="BExXXKWLM4D541BH6O8GOJMHFHMW" hidden="1">#REF!</definedName>
    <definedName name="BExXXPPA1Q87XPI97X0OXCPBPDON" localSheetId="20" hidden="1">#REF!</definedName>
    <definedName name="BExXXPPA1Q87XPI97X0OXCPBPDON" hidden="1">#REF!</definedName>
    <definedName name="BExXXVUDA98IZTQ6MANKU4MTTDVR" localSheetId="20" hidden="1">#REF!</definedName>
    <definedName name="BExXXVUDA98IZTQ6MANKU4MTTDVR" hidden="1">#REF!</definedName>
    <definedName name="BExXXZQNZY6IZI45DJXJK0MQZWA7" localSheetId="20" hidden="1">#REF!</definedName>
    <definedName name="BExXXZQNZY6IZI45DJXJK0MQZWA7" hidden="1">#REF!</definedName>
    <definedName name="BExXY5QFG6QP94SFT3935OBM8Y4K" localSheetId="20" hidden="1">#REF!</definedName>
    <definedName name="BExXY5QFG6QP94SFT3935OBM8Y4K" hidden="1">#REF!</definedName>
    <definedName name="BExXY7TYEBFXRYUYIFHTN65RJ8EW" localSheetId="20" hidden="1">#REF!</definedName>
    <definedName name="BExXY7TYEBFXRYUYIFHTN65RJ8EW" hidden="1">#REF!</definedName>
    <definedName name="BExXYD85DGL2MUZ4DB0JR3L1UVLF" localSheetId="20" hidden="1">#REF!</definedName>
    <definedName name="BExXYD85DGL2MUZ4DB0JR3L1UVLF" hidden="1">#REF!</definedName>
    <definedName name="BExXYLBHANUXC5FCTDDTGOVD3GQS" localSheetId="20" hidden="1">#REF!</definedName>
    <definedName name="BExXYLBHANUXC5FCTDDTGOVD3GQS" hidden="1">#REF!</definedName>
    <definedName name="BExXYMNYAYH3WA2ZCFAYKZID9ZCI" localSheetId="20" hidden="1">#REF!</definedName>
    <definedName name="BExXYMNYAYH3WA2ZCFAYKZID9ZCI" hidden="1">#REF!</definedName>
    <definedName name="BExXYWEQL36MHLNSDGU1FOTX7M20" localSheetId="20" hidden="1">#REF!</definedName>
    <definedName name="BExXYWEQL36MHLNSDGU1FOTX7M20" hidden="1">#REF!</definedName>
    <definedName name="BExXYWK1Q4ED490YK6LD13PRAMS4" localSheetId="20" hidden="1">#REF!</definedName>
    <definedName name="BExXYWK1Q4ED490YK6LD13PRAMS4" hidden="1">#REF!</definedName>
    <definedName name="BExXYYT12SVN2VDMLVNV4P3ISD8T" localSheetId="20" hidden="1">#REF!</definedName>
    <definedName name="BExXYYT12SVN2VDMLVNV4P3ISD8T" hidden="1">#REF!</definedName>
    <definedName name="BExXZEDWUYH25UZMW2QU2RXFILJE" localSheetId="20" hidden="1">#REF!</definedName>
    <definedName name="BExXZEDWUYH25UZMW2QU2RXFILJE" hidden="1">#REF!</definedName>
    <definedName name="BExXZFVV4YB42AZ3H1I40YG3JAPU" localSheetId="20" hidden="1">#REF!</definedName>
    <definedName name="BExXZFVV4YB42AZ3H1I40YG3JAPU" hidden="1">#REF!</definedName>
    <definedName name="BExXZH30Y2VXGXW705XP20HU2G86" localSheetId="20" hidden="1">#REF!</definedName>
    <definedName name="BExXZH30Y2VXGXW705XP20HU2G86" hidden="1">#REF!</definedName>
    <definedName name="BExXZHJ9T2JELF12CHHGD54J1B0C" localSheetId="20" hidden="1">#REF!</definedName>
    <definedName name="BExXZHJ9T2JELF12CHHGD54J1B0C" hidden="1">#REF!</definedName>
    <definedName name="BExXZNJ2X1TK2LRK5ZY3MX49H5T7" localSheetId="20" hidden="1">#REF!</definedName>
    <definedName name="BExXZNJ2X1TK2LRK5ZY3MX49H5T7" hidden="1">#REF!</definedName>
    <definedName name="BExXZOVPCEP495TQSON6PSRQ8XCY" localSheetId="20" hidden="1">#REF!</definedName>
    <definedName name="BExXZOVPCEP495TQSON6PSRQ8XCY" hidden="1">#REF!</definedName>
    <definedName name="BExXZXKH7NBARQQAZM69Z57IH1MM" localSheetId="20" hidden="1">#REF!</definedName>
    <definedName name="BExXZXKH7NBARQQAZM69Z57IH1MM" hidden="1">#REF!</definedName>
    <definedName name="BExY07WSDH5QEVM7BJXJK2ZRAI1O" localSheetId="20" hidden="1">#REF!</definedName>
    <definedName name="BExY07WSDH5QEVM7BJXJK2ZRAI1O" hidden="1">#REF!</definedName>
    <definedName name="BExY0C3UBVC4M59JIRXVQ8OWAJC1" localSheetId="20" hidden="1">#REF!</definedName>
    <definedName name="BExY0C3UBVC4M59JIRXVQ8OWAJC1" hidden="1">#REF!</definedName>
    <definedName name="BExY0G03T6MD304WV4PCS8A8UZOU" localSheetId="20" hidden="1">#REF!</definedName>
    <definedName name="BExY0G03T6MD304WV4PCS8A8UZOU" hidden="1">#REF!</definedName>
    <definedName name="BExY0JAM6LIEX03Y3CDOQG13XO98" localSheetId="20" hidden="1">#REF!</definedName>
    <definedName name="BExY0JAM6LIEX03Y3CDOQG13XO98" hidden="1">#REF!</definedName>
    <definedName name="BExY0MLAPBIUHZHF3MNQUBZEOPGA" localSheetId="20" hidden="1">#REF!</definedName>
    <definedName name="BExY0MLAPBIUHZHF3MNQUBZEOPGA" hidden="1">#REF!</definedName>
    <definedName name="BExY0OE8GFHMLLTEAFIOQTOPEVPB" localSheetId="20" hidden="1">#REF!</definedName>
    <definedName name="BExY0OE8GFHMLLTEAFIOQTOPEVPB" hidden="1">#REF!</definedName>
    <definedName name="BExY0OJHW85S0VKBA8T4HTYPYBOS" localSheetId="20" hidden="1">#REF!</definedName>
    <definedName name="BExY0OJHW85S0VKBA8T4HTYPYBOS" hidden="1">#REF!</definedName>
    <definedName name="BExY0T1E034D7XAXNC6F7540LLIE" localSheetId="20" hidden="1">#REF!</definedName>
    <definedName name="BExY0T1E034D7XAXNC6F7540LLIE" hidden="1">#REF!</definedName>
    <definedName name="BExY0XTZLHN49J2JH94BYTKBJLT3" localSheetId="20" hidden="1">#REF!</definedName>
    <definedName name="BExY0XTZLHN49J2JH94BYTKBJLT3" hidden="1">#REF!</definedName>
    <definedName name="BExY11FH9TXHERUYGG8FE50U7H7J" localSheetId="20" hidden="1">#REF!</definedName>
    <definedName name="BExY11FH9TXHERUYGG8FE50U7H7J" hidden="1">#REF!</definedName>
    <definedName name="BExY14VIIZDQ07OMY7WD69P6ZBUX" localSheetId="20" hidden="1">#REF!</definedName>
    <definedName name="BExY14VIIZDQ07OMY7WD69P6ZBUX" hidden="1">#REF!</definedName>
    <definedName name="BExY16O8FRFU2AKAB73SDMHTLF36" localSheetId="20" hidden="1">#REF!</definedName>
    <definedName name="BExY16O8FRFU2AKAB73SDMHTLF36" hidden="1">#REF!</definedName>
    <definedName name="BExY180UKNW5NIAWD6ZUYTFEH8QS" localSheetId="20" hidden="1">#REF!</definedName>
    <definedName name="BExY180UKNW5NIAWD6ZUYTFEH8QS" hidden="1">#REF!</definedName>
    <definedName name="BExY1DPTV4LSY9MEOUGXF8X052NA" localSheetId="20" hidden="1">#REF!</definedName>
    <definedName name="BExY1DPTV4LSY9MEOUGXF8X052NA" hidden="1">#REF!</definedName>
    <definedName name="BExY1GK9ELBEKDD7O6HR6DUO8YGO" localSheetId="20" hidden="1">#REF!</definedName>
    <definedName name="BExY1GK9ELBEKDD7O6HR6DUO8YGO" hidden="1">#REF!</definedName>
    <definedName name="BExY1JK5FLBIKGF4D7K1BMSTT2W7" localSheetId="20" hidden="1">'[38]10.08.5 - 2008 Capital - TDBU'!#REF!</definedName>
    <definedName name="BExY1JK5FLBIKGF4D7K1BMSTT2W7" hidden="1">'[38]10.08.5 - 2008 Capital - TDBU'!#REF!</definedName>
    <definedName name="BExY1JUYIFR0O90W747XIO278VF6" localSheetId="15" hidden="1">#REF!</definedName>
    <definedName name="BExY1JUYIFR0O90W747XIO278VF6" localSheetId="16" hidden="1">#REF!</definedName>
    <definedName name="BExY1JUYIFR0O90W747XIO278VF6" localSheetId="20" hidden="1">#REF!</definedName>
    <definedName name="BExY1JUYIFR0O90W747XIO278VF6" hidden="1">#REF!</definedName>
    <definedName name="BExY1NWOXXFV9GGZ3PX444LZ8TVX" localSheetId="20" hidden="1">#REF!</definedName>
    <definedName name="BExY1NWOXXFV9GGZ3PX444LZ8TVX" hidden="1">#REF!</definedName>
    <definedName name="BExY1R7F5GLGAYZT2TMJYZVT5X8X" localSheetId="20" hidden="1">#REF!</definedName>
    <definedName name="BExY1R7F5GLGAYZT2TMJYZVT5X8X" hidden="1">#REF!</definedName>
    <definedName name="BExY1TR13AYI0HGDYRVNRSR1VPOV" localSheetId="20" hidden="1">#REF!</definedName>
    <definedName name="BExY1TR13AYI0HGDYRVNRSR1VPOV" hidden="1">#REF!</definedName>
    <definedName name="BExY1UCL0RND63LLSM9X5SFRG117" localSheetId="20" hidden="1">#REF!</definedName>
    <definedName name="BExY1UCL0RND63LLSM9X5SFRG117" hidden="1">#REF!</definedName>
    <definedName name="BExY1WAT3937L08HLHIRQHMP2A3H" localSheetId="20" hidden="1">#REF!</definedName>
    <definedName name="BExY1WAT3937L08HLHIRQHMP2A3H" hidden="1">#REF!</definedName>
    <definedName name="BExY1YEBOSLMID7LURP8QB46AI91" localSheetId="20" hidden="1">#REF!</definedName>
    <definedName name="BExY1YEBOSLMID7LURP8QB46AI91" hidden="1">#REF!</definedName>
    <definedName name="BExY29MW53U9H65R6IEGDFI64XHB" localSheetId="20" hidden="1">#REF!</definedName>
    <definedName name="BExY29MW53U9H65R6IEGDFI64XHB" hidden="1">#REF!</definedName>
    <definedName name="BExY2FS4LFX9OHOTQT7SJ2PXAC25" localSheetId="20" hidden="1">#REF!</definedName>
    <definedName name="BExY2FS4LFX9OHOTQT7SJ2PXAC25" hidden="1">#REF!</definedName>
    <definedName name="BExY2GDPCZPVU0IQ6IJIB1YQQRQ6" localSheetId="20" hidden="1">#REF!</definedName>
    <definedName name="BExY2GDPCZPVU0IQ6IJIB1YQQRQ6" hidden="1">#REF!</definedName>
    <definedName name="BExY2GTSZ3VA9TXLY7KW1LIAKJ61" localSheetId="20" hidden="1">#REF!</definedName>
    <definedName name="BExY2GTSZ3VA9TXLY7KW1LIAKJ61" hidden="1">#REF!</definedName>
    <definedName name="BExY2H4LV4INLFET24XNE1FUGSXP" localSheetId="20" hidden="1">#REF!</definedName>
    <definedName name="BExY2H4LV4INLFET24XNE1FUGSXP" hidden="1">#REF!</definedName>
    <definedName name="BExY2IXBR1SGYZH08T7QHKEFS8HA" localSheetId="20" hidden="1">#REF!</definedName>
    <definedName name="BExY2IXBR1SGYZH08T7QHKEFS8HA" hidden="1">#REF!</definedName>
    <definedName name="BExY2P7Y7WK5R8PQWMWRW9V4TL58" localSheetId="20" hidden="1">#REF!</definedName>
    <definedName name="BExY2P7Y7WK5R8PQWMWRW9V4TL58" hidden="1">#REF!</definedName>
    <definedName name="BExY2Q4B5FUDA5VU4VRUHX327QN0" localSheetId="20" hidden="1">#REF!</definedName>
    <definedName name="BExY2Q4B5FUDA5VU4VRUHX327QN0" hidden="1">#REF!</definedName>
    <definedName name="BExY2UWXID9H1ZZT216IJ2W3T4R5" localSheetId="20" hidden="1">#REF!</definedName>
    <definedName name="BExY2UWXID9H1ZZT216IJ2W3T4R5" hidden="1">#REF!</definedName>
    <definedName name="BExY3BEDJM4RQA202MJY8RJM0FGU" localSheetId="20" hidden="1">#REF!</definedName>
    <definedName name="BExY3BEDJM4RQA202MJY8RJM0FGU" hidden="1">#REF!</definedName>
    <definedName name="BExY3HOSK7YI364K15OX70AVR6F1" localSheetId="20" hidden="1">#REF!</definedName>
    <definedName name="BExY3HOSK7YI364K15OX70AVR6F1" hidden="1">#REF!</definedName>
    <definedName name="BExY3T89AUR83SOAZZ3OMDEJDQ39" localSheetId="20" hidden="1">#REF!</definedName>
    <definedName name="BExY3T89AUR83SOAZZ3OMDEJDQ39" hidden="1">#REF!</definedName>
    <definedName name="BExY40KOAK8UPA3XIKC6WE4OLQAL" localSheetId="20" hidden="1">#REF!</definedName>
    <definedName name="BExY40KOAK8UPA3XIKC6WE4OLQAL" hidden="1">#REF!</definedName>
    <definedName name="BExY4MG771JQ84EMIVB6HQGGHZY7" localSheetId="20" hidden="1">#REF!</definedName>
    <definedName name="BExY4MG771JQ84EMIVB6HQGGHZY7" hidden="1">#REF!</definedName>
    <definedName name="BExY4PWCSFB8P3J3TBQB2MD67263" localSheetId="20" hidden="1">#REF!</definedName>
    <definedName name="BExY4PWCSFB8P3J3TBQB2MD67263" hidden="1">#REF!</definedName>
    <definedName name="BExY4RZVZXZ35OZVEXTSWVVGE8XF" localSheetId="20" hidden="1">#REF!</definedName>
    <definedName name="BExY4RZVZXZ35OZVEXTSWVVGE8XF" hidden="1">#REF!</definedName>
    <definedName name="BExY4RZW3KK11JLYBA4DWZ92M6LQ" localSheetId="20" hidden="1">#REF!</definedName>
    <definedName name="BExY4RZW3KK11JLYBA4DWZ92M6LQ" hidden="1">#REF!</definedName>
    <definedName name="BExY4XOVTTNVZ577RLIEC7NZQFIX" localSheetId="20" hidden="1">#REF!</definedName>
    <definedName name="BExY4XOVTTNVZ577RLIEC7NZQFIX" hidden="1">#REF!</definedName>
    <definedName name="BExY50JAF5CG01GTHAUS7I4ZLUDC" localSheetId="20" hidden="1">#REF!</definedName>
    <definedName name="BExY50JAF5CG01GTHAUS7I4ZLUDC" hidden="1">#REF!</definedName>
    <definedName name="BExY53J6XUX9MQ87V5K1PHGLA5OZ" localSheetId="20" hidden="1">#REF!</definedName>
    <definedName name="BExY53J6XUX9MQ87V5K1PHGLA5OZ" hidden="1">#REF!</definedName>
    <definedName name="BExY53J7EXFEOFTRNAHLK7IH3ACB" localSheetId="20" hidden="1">#REF!</definedName>
    <definedName name="BExY53J7EXFEOFTRNAHLK7IH3ACB" hidden="1">#REF!</definedName>
    <definedName name="BExY5515SJTJS3VM80M3YYR0WF37" localSheetId="20" hidden="1">#REF!</definedName>
    <definedName name="BExY5515SJTJS3VM80M3YYR0WF37" hidden="1">#REF!</definedName>
    <definedName name="BExY5515WE39FQ3EG5QHG67V9C0O" localSheetId="20" hidden="1">#REF!</definedName>
    <definedName name="BExY5515WE39FQ3EG5QHG67V9C0O" hidden="1">#REF!</definedName>
    <definedName name="BExY5986WNAD8NFCPXC9TVLBU4FG" localSheetId="20" hidden="1">#REF!</definedName>
    <definedName name="BExY5986WNAD8NFCPXC9TVLBU4FG" hidden="1">#REF!</definedName>
    <definedName name="BExY5DF9MS25IFNWGJ1YAS5MDN8R" localSheetId="20" hidden="1">#REF!</definedName>
    <definedName name="BExY5DF9MS25IFNWGJ1YAS5MDN8R" hidden="1">#REF!</definedName>
    <definedName name="BExY5ERVGL3UM2MGT8LJ0XPKTZEK" localSheetId="20" hidden="1">#REF!</definedName>
    <definedName name="BExY5ERVGL3UM2MGT8LJ0XPKTZEK" hidden="1">#REF!</definedName>
    <definedName name="BExY5EX6NJFK8W754ZVZDN5DS04K" localSheetId="20" hidden="1">#REF!</definedName>
    <definedName name="BExY5EX6NJFK8W754ZVZDN5DS04K" hidden="1">#REF!</definedName>
    <definedName name="BExY5S3XD1NJT109CV54IFOHVLQ6" localSheetId="20" hidden="1">#REF!</definedName>
    <definedName name="BExY5S3XD1NJT109CV54IFOHVLQ6" hidden="1">#REF!</definedName>
    <definedName name="BExY5TB2VAI3GHKCPXMCVIOM8B8W" localSheetId="20" hidden="1">#REF!</definedName>
    <definedName name="BExY5TB2VAI3GHKCPXMCVIOM8B8W" hidden="1">#REF!</definedName>
    <definedName name="BExY6KVS1MMZ2R34PGEFR2BMTU9W" localSheetId="20" hidden="1">#REF!</definedName>
    <definedName name="BExY6KVS1MMZ2R34PGEFR2BMTU9W" hidden="1">#REF!</definedName>
    <definedName name="BExY6Q9YY7LW745GP7CYOGGSPHGE" localSheetId="20" hidden="1">#REF!</definedName>
    <definedName name="BExY6Q9YY7LW745GP7CYOGGSPHGE" hidden="1">#REF!</definedName>
    <definedName name="BExZIA3C8LKJTEH3MKQ57KJH5TA2" localSheetId="20" hidden="1">#REF!</definedName>
    <definedName name="BExZIA3C8LKJTEH3MKQ57KJH5TA2" hidden="1">#REF!</definedName>
    <definedName name="BExZIIHH3QNQE3GFMHEE4UMHY6WQ" localSheetId="20" hidden="1">#REF!</definedName>
    <definedName name="BExZIIHH3QNQE3GFMHEE4UMHY6WQ" hidden="1">#REF!</definedName>
    <definedName name="BExZIRH59XWU9D7KAUQ3N5FQ6ZQU" localSheetId="20" hidden="1">#REF!</definedName>
    <definedName name="BExZIRH59XWU9D7KAUQ3N5FQ6ZQU" hidden="1">#REF!</definedName>
    <definedName name="BExZIYO22G5UXOB42GDLYGVRJ6U7" localSheetId="20" hidden="1">#REF!</definedName>
    <definedName name="BExZIYO22G5UXOB42GDLYGVRJ6U7" hidden="1">#REF!</definedName>
    <definedName name="BExZJ7I9T8XU4MZRKJ1VVU76V2LZ" localSheetId="20" hidden="1">#REF!</definedName>
    <definedName name="BExZJ7I9T8XU4MZRKJ1VVU76V2LZ" hidden="1">#REF!</definedName>
    <definedName name="BExZJCWI93DAGB0LYD3D3RXA5T1X" localSheetId="20" hidden="1">#REF!</definedName>
    <definedName name="BExZJCWI93DAGB0LYD3D3RXA5T1X" hidden="1">#REF!</definedName>
    <definedName name="BExZJG77BNPTTXPHBDO6JVBP267V" localSheetId="20" hidden="1">#REF!</definedName>
    <definedName name="BExZJG77BNPTTXPHBDO6JVBP267V" hidden="1">#REF!</definedName>
    <definedName name="BExZJMY170JCUU1RWASNZ1HJPRTA" localSheetId="20" hidden="1">#REF!</definedName>
    <definedName name="BExZJMY170JCUU1RWASNZ1HJPRTA" hidden="1">#REF!</definedName>
    <definedName name="BExZJOQR77H0P4SUKVYACDCFBBXO" localSheetId="20" hidden="1">#REF!</definedName>
    <definedName name="BExZJOQR77H0P4SUKVYACDCFBBXO" hidden="1">#REF!</definedName>
    <definedName name="BExZJS6RG34ODDY9HMZ0O34MEMSB" localSheetId="20" hidden="1">#REF!</definedName>
    <definedName name="BExZJS6RG34ODDY9HMZ0O34MEMSB" hidden="1">#REF!</definedName>
    <definedName name="BExZJTOQ0YP3Z6MU1Z3EQPWCQJAV" localSheetId="20" hidden="1">#REF!</definedName>
    <definedName name="BExZJTOQ0YP3Z6MU1Z3EQPWCQJAV" hidden="1">#REF!</definedName>
    <definedName name="BExZJXA66GVI2J3KFTXHYHM2MLFQ" localSheetId="20" hidden="1">#REF!</definedName>
    <definedName name="BExZJXA66GVI2J3KFTXHYHM2MLFQ" hidden="1">#REF!</definedName>
    <definedName name="BExZK0FLA198EJ94QHWX96XGLB95" localSheetId="20" hidden="1">#REF!</definedName>
    <definedName name="BExZK0FLA198EJ94QHWX96XGLB95" hidden="1">#REF!</definedName>
    <definedName name="BExZK28BCCZCJGD4172FUNAGUC1I" localSheetId="20" hidden="1">#REF!</definedName>
    <definedName name="BExZK28BCCZCJGD4172FUNAGUC1I" hidden="1">#REF!</definedName>
    <definedName name="BExZK34NR4BAD7HJAP7SQ926UQP3" localSheetId="20" hidden="1">#REF!</definedName>
    <definedName name="BExZK34NR4BAD7HJAP7SQ926UQP3" hidden="1">#REF!</definedName>
    <definedName name="BExZK3FGPHH5H771U7D5XY7XBS6E" localSheetId="20" hidden="1">#REF!</definedName>
    <definedName name="BExZK3FGPHH5H771U7D5XY7XBS6E" hidden="1">#REF!</definedName>
    <definedName name="BExZKG5XNKFLT5VIJGTGN1KRY9M1" localSheetId="20" hidden="1">#REF!</definedName>
    <definedName name="BExZKG5XNKFLT5VIJGTGN1KRY9M1" hidden="1">#REF!</definedName>
    <definedName name="BExZKHYORG3O8C772XPFHM1N8T80" localSheetId="20" hidden="1">#REF!</definedName>
    <definedName name="BExZKHYORG3O8C772XPFHM1N8T80" hidden="1">#REF!</definedName>
    <definedName name="BExZKJRF2IRR57DG9CLC7MSHWNNN" localSheetId="20" hidden="1">#REF!</definedName>
    <definedName name="BExZKJRF2IRR57DG9CLC7MSHWNNN" hidden="1">#REF!</definedName>
    <definedName name="BExZKV5GYXO0X760SBD9TWTIQHGI" localSheetId="20" hidden="1">#REF!</definedName>
    <definedName name="BExZKV5GYXO0X760SBD9TWTIQHGI" hidden="1">#REF!</definedName>
    <definedName name="BExZKXUJFT2AT6IX3VNR84WD8J6O" localSheetId="20" hidden="1">#REF!</definedName>
    <definedName name="BExZKXUJFT2AT6IX3VNR84WD8J6O" hidden="1">#REF!</definedName>
    <definedName name="BExZL6E4YVXRUN7ZGF2BIGIXFR8K" localSheetId="20" hidden="1">#REF!</definedName>
    <definedName name="BExZL6E4YVXRUN7ZGF2BIGIXFR8K" hidden="1">#REF!</definedName>
    <definedName name="BExZLE6HTP4MI0C7JZBPGDRFSQHY" localSheetId="20" hidden="1">#REF!</definedName>
    <definedName name="BExZLE6HTP4MI0C7JZBPGDRFSQHY" hidden="1">#REF!</definedName>
    <definedName name="BExZLGVLMKTPFXG42QYT0PO81G7F" localSheetId="20" hidden="1">#REF!</definedName>
    <definedName name="BExZLGVLMKTPFXG42QYT0PO81G7F" hidden="1">#REF!</definedName>
    <definedName name="BExZLKMK7LRK14S09WLMH7MXSQXM" localSheetId="20" hidden="1">#REF!</definedName>
    <definedName name="BExZLKMK7LRK14S09WLMH7MXSQXM" hidden="1">#REF!</definedName>
    <definedName name="BExZM7JVLG0W8EG5RBU915U3SKBY" localSheetId="20" hidden="1">#REF!</definedName>
    <definedName name="BExZM7JVLG0W8EG5RBU915U3SKBY" hidden="1">#REF!</definedName>
    <definedName name="BExZM85FOVUFF110XMQ9O2ODSJUK" localSheetId="20" hidden="1">#REF!</definedName>
    <definedName name="BExZM85FOVUFF110XMQ9O2ODSJUK" hidden="1">#REF!</definedName>
    <definedName name="BExZMF1MMTZ1TA14PZ8ASSU2CBSP" localSheetId="20" hidden="1">#REF!</definedName>
    <definedName name="BExZMF1MMTZ1TA14PZ8ASSU2CBSP" hidden="1">#REF!</definedName>
    <definedName name="BExZMKL5YQZD7F0FUCSVFGLPFK52" localSheetId="20" hidden="1">#REF!</definedName>
    <definedName name="BExZMKL5YQZD7F0FUCSVFGLPFK52" hidden="1">#REF!</definedName>
    <definedName name="BExZMOC3VNZALJM71X2T6FV91GTB" localSheetId="20" hidden="1">#REF!</definedName>
    <definedName name="BExZMOC3VNZALJM71X2T6FV91GTB" hidden="1">#REF!</definedName>
    <definedName name="BExZMRC0GXPSO9JOPK8FEZBDS80M" localSheetId="20" hidden="1">#REF!</definedName>
    <definedName name="BExZMRC0GXPSO9JOPK8FEZBDS80M" hidden="1">#REF!</definedName>
    <definedName name="BExZMVJ0ODX05Q2E8C4IZVAY7RGU" localSheetId="20" hidden="1">#REF!</definedName>
    <definedName name="BExZMVJ0ODX05Q2E8C4IZVAY7RGU" hidden="1">#REF!</definedName>
    <definedName name="BExZMXH39OB0I43XEL3K11U3G9PM" localSheetId="20" hidden="1">#REF!</definedName>
    <definedName name="BExZMXH39OB0I43XEL3K11U3G9PM" hidden="1">#REF!</definedName>
    <definedName name="BExZMZQ3RBKDHT5GLFNLS52OSJA0" localSheetId="20" hidden="1">#REF!</definedName>
    <definedName name="BExZMZQ3RBKDHT5GLFNLS52OSJA0" hidden="1">#REF!</definedName>
    <definedName name="BExZN0MHIAUPB6G7US083VNAPOUO" localSheetId="20" hidden="1">#REF!</definedName>
    <definedName name="BExZN0MHIAUPB6G7US083VNAPOUO" hidden="1">#REF!</definedName>
    <definedName name="BExZN2F7Y2J2L2LN5WZRG949MS4A" localSheetId="20" hidden="1">#REF!</definedName>
    <definedName name="BExZN2F7Y2J2L2LN5WZRG949MS4A" hidden="1">#REF!</definedName>
    <definedName name="BExZN4TJVUGCFWL2CS28R36HN7S6" localSheetId="20" hidden="1">#REF!</definedName>
    <definedName name="BExZN4TJVUGCFWL2CS28R36HN7S6" hidden="1">#REF!</definedName>
    <definedName name="BExZN6BHBBUIDVNQ8LMA86ZJ8SBU" localSheetId="20" hidden="1">#REF!</definedName>
    <definedName name="BExZN6BHBBUIDVNQ8LMA86ZJ8SBU" hidden="1">#REF!</definedName>
    <definedName name="BExZN847WUWKRYTZWG9TCQZJS3OL" localSheetId="20" hidden="1">#REF!</definedName>
    <definedName name="BExZN847WUWKRYTZWG9TCQZJS3OL" hidden="1">#REF!</definedName>
    <definedName name="BExZNEUW1MNCUTLJ4LWIW18J6TXS" localSheetId="20" hidden="1">#REF!</definedName>
    <definedName name="BExZNEUW1MNCUTLJ4LWIW18J6TXS" hidden="1">#REF!</definedName>
    <definedName name="BExZNH3VISFF4NQI11BZDP5IQ7VG" localSheetId="20" hidden="1">#REF!</definedName>
    <definedName name="BExZNH3VISFF4NQI11BZDP5IQ7VG" hidden="1">#REF!</definedName>
    <definedName name="BExZNILV5N9PBKDZLALQEXXPJ2GZ" localSheetId="20" hidden="1">#REF!</definedName>
    <definedName name="BExZNILV5N9PBKDZLALQEXXPJ2GZ" hidden="1">#REF!</definedName>
    <definedName name="BExZNJYCFYVMAOI62GB2BABK1ELE" localSheetId="20" hidden="1">#REF!</definedName>
    <definedName name="BExZNJYCFYVMAOI62GB2BABK1ELE" hidden="1">#REF!</definedName>
    <definedName name="BExZNSCGGDV6CW77IZLFGQGTQJ5Q" localSheetId="20" hidden="1">#REF!</definedName>
    <definedName name="BExZNSCGGDV6CW77IZLFGQGTQJ5Q" hidden="1">#REF!</definedName>
    <definedName name="BExZNV707LIU6Z5H6QI6H67LHTI1" localSheetId="20" hidden="1">#REF!</definedName>
    <definedName name="BExZNV707LIU6Z5H6QI6H67LHTI1" hidden="1">#REF!</definedName>
    <definedName name="BExZNVCBKB930QQ9QW7KSGOZ0V1M" localSheetId="20" hidden="1">#REF!</definedName>
    <definedName name="BExZNVCBKB930QQ9QW7KSGOZ0V1M" hidden="1">#REF!</definedName>
    <definedName name="BExZNW8QJ18X0RSGFDWAE9ZSDX39" localSheetId="20" hidden="1">#REF!</definedName>
    <definedName name="BExZNW8QJ18X0RSGFDWAE9ZSDX39" hidden="1">#REF!</definedName>
    <definedName name="BExZNZDWRS6Q40L8OCWFEIVI0A1O" localSheetId="20" hidden="1">#REF!</definedName>
    <definedName name="BExZNZDWRS6Q40L8OCWFEIVI0A1O" hidden="1">#REF!</definedName>
    <definedName name="BExZOBO9NYLGVJQ31LVQ9XS2ZT4N" localSheetId="20" hidden="1">#REF!</definedName>
    <definedName name="BExZOBO9NYLGVJQ31LVQ9XS2ZT4N" hidden="1">#REF!</definedName>
    <definedName name="BExZOETNB1CJ3Y2RKLI1ZK0S8Z6H" localSheetId="20" hidden="1">#REF!</definedName>
    <definedName name="BExZOETNB1CJ3Y2RKLI1ZK0S8Z6H" hidden="1">#REF!</definedName>
    <definedName name="BExZOF9R1MU69L6PO5PC7TBTE9G9" localSheetId="20" hidden="1">#REF!</definedName>
    <definedName name="BExZOF9R1MU69L6PO5PC7TBTE9G9" hidden="1">#REF!</definedName>
    <definedName name="BExZOL9K1RUXBTLZ6FJ65BIE9G5R" localSheetId="20" hidden="1">#REF!</definedName>
    <definedName name="BExZOL9K1RUXBTLZ6FJ65BIE9G5R" hidden="1">#REF!</definedName>
    <definedName name="BExZOREMVSK4E5VSWM838KHUB8AI" localSheetId="20" hidden="1">#REF!</definedName>
    <definedName name="BExZOREMVSK4E5VSWM838KHUB8AI" hidden="1">#REF!</definedName>
    <definedName name="BExZOVR745T5P1KS9NV2PXZPZVRG" localSheetId="20" hidden="1">#REF!</definedName>
    <definedName name="BExZOVR745T5P1KS9NV2PXZPZVRG" hidden="1">#REF!</definedName>
    <definedName name="BExZOZSWGLSY2XYVRIS6VSNJDSGD" localSheetId="20" hidden="1">#REF!</definedName>
    <definedName name="BExZOZSWGLSY2XYVRIS6VSNJDSGD" hidden="1">#REF!</definedName>
    <definedName name="BExZP7AIJKLM6C6CSUIIFAHFBNX2" localSheetId="20" hidden="1">#REF!</definedName>
    <definedName name="BExZP7AIJKLM6C6CSUIIFAHFBNX2" hidden="1">#REF!</definedName>
    <definedName name="BExZPQ0XY507N8FJMVPKCTK8HC9H" localSheetId="20" hidden="1">#REF!</definedName>
    <definedName name="BExZPQ0XY507N8FJMVPKCTK8HC9H" hidden="1">#REF!</definedName>
    <definedName name="BExZPT0UWFAUYM11ETBX54NBI1PD" localSheetId="20" hidden="1">#REF!</definedName>
    <definedName name="BExZPT0UWFAUYM11ETBX54NBI1PD" hidden="1">#REF!</definedName>
    <definedName name="BExZQ37OVBR25U32CO2YYVPZOMR5" localSheetId="20" hidden="1">#REF!</definedName>
    <definedName name="BExZQ37OVBR25U32CO2YYVPZOMR5" hidden="1">#REF!</definedName>
    <definedName name="BExZQ3IHNAFF2HI20IH754T349LH" localSheetId="20" hidden="1">#REF!</definedName>
    <definedName name="BExZQ3IHNAFF2HI20IH754T349LH" hidden="1">#REF!</definedName>
    <definedName name="BExZQ3NT7H06VO0AR48WHZULZB93" localSheetId="20" hidden="1">#REF!</definedName>
    <definedName name="BExZQ3NT7H06VO0AR48WHZULZB93" hidden="1">#REF!</definedName>
    <definedName name="BExZQ7PJU07SEJMDX18U9YVDC2GU" localSheetId="20" hidden="1">#REF!</definedName>
    <definedName name="BExZQ7PJU07SEJMDX18U9YVDC2GU" hidden="1">#REF!</definedName>
    <definedName name="BExZQIHTGHK7OOI2Y2PN3JYBY82I" localSheetId="20" hidden="1">#REF!</definedName>
    <definedName name="BExZQIHTGHK7OOI2Y2PN3JYBY82I" hidden="1">#REF!</definedName>
    <definedName name="BExZQJJMGU5MHQOILGXGJPAQI5XI" localSheetId="20" hidden="1">#REF!</definedName>
    <definedName name="BExZQJJMGU5MHQOILGXGJPAQI5XI" hidden="1">#REF!</definedName>
    <definedName name="BExZQNQOI080YO1ADHPJGCG9R63F" localSheetId="20" hidden="1">#REF!</definedName>
    <definedName name="BExZQNQOI080YO1ADHPJGCG9R63F" hidden="1">#REF!</definedName>
    <definedName name="BExZQXBYEBN28QUH1KOVW6KKA5UM" localSheetId="20" hidden="1">#REF!</definedName>
    <definedName name="BExZQXBYEBN28QUH1KOVW6KKA5UM" hidden="1">#REF!</definedName>
    <definedName name="BExZQZKT146WEN8FTVZ7Y5TSB8L5" localSheetId="20" hidden="1">#REF!</definedName>
    <definedName name="BExZQZKT146WEN8FTVZ7Y5TSB8L5" hidden="1">#REF!</definedName>
    <definedName name="BExZR12Y982N9EKLLP7Z52WQHXXF" localSheetId="20" hidden="1">#REF!</definedName>
    <definedName name="BExZR12Y982N9EKLLP7Z52WQHXXF" hidden="1">#REF!</definedName>
    <definedName name="BExZR485AKBH93YZ08CMUC3WROED" localSheetId="20" hidden="1">#REF!</definedName>
    <definedName name="BExZR485AKBH93YZ08CMUC3WROED" hidden="1">#REF!</definedName>
    <definedName name="BExZR7TL98P2PPUVGIZYR5873DWW" localSheetId="20" hidden="1">#REF!</definedName>
    <definedName name="BExZR7TL98P2PPUVGIZYR5873DWW" hidden="1">#REF!</definedName>
    <definedName name="BExZRB9M8SJHCJ3R6G6N2FSC8JDL" localSheetId="20" hidden="1">#REF!</definedName>
    <definedName name="BExZRB9M8SJHCJ3R6G6N2FSC8JDL" hidden="1">#REF!</definedName>
    <definedName name="BExZRGD1603X5ACFALUUDKCD7X48" localSheetId="20" hidden="1">#REF!</definedName>
    <definedName name="BExZRGD1603X5ACFALUUDKCD7X48" hidden="1">#REF!</definedName>
    <definedName name="BExZRP1X6UVLN1UOLHH5VF4STP1O" localSheetId="20" hidden="1">#REF!</definedName>
    <definedName name="BExZRP1X6UVLN1UOLHH5VF4STP1O" hidden="1">#REF!</definedName>
    <definedName name="BExZRQ930U6OCYNV00CH5I0Q4LPE" localSheetId="20" hidden="1">#REF!</definedName>
    <definedName name="BExZRQ930U6OCYNV00CH5I0Q4LPE" hidden="1">#REF!</definedName>
    <definedName name="BExZRVSS7LVKUWW3VM61WKHK4M49" localSheetId="20" hidden="1">#REF!</definedName>
    <definedName name="BExZRVSS7LVKUWW3VM61WKHK4M49" hidden="1">#REF!</definedName>
    <definedName name="BExZRW8W514W8OZ72YBONYJ64GXF" localSheetId="20" hidden="1">#REF!</definedName>
    <definedName name="BExZRW8W514W8OZ72YBONYJ64GXF" hidden="1">#REF!</definedName>
    <definedName name="BExZRWJP2BUVFJPO8U8ATQEP0LZU" localSheetId="20" hidden="1">#REF!</definedName>
    <definedName name="BExZRWJP2BUVFJPO8U8ATQEP0LZU" hidden="1">#REF!</definedName>
    <definedName name="BExZRXAKDKQ1K9GZ7R5F89HTIP5Y" localSheetId="20" hidden="1">'[38]10.08.5 - 2008 Capital - TDBU'!#REF!</definedName>
    <definedName name="BExZRXAKDKQ1K9GZ7R5F89HTIP5Y" hidden="1">'[38]10.08.5 - 2008 Capital - TDBU'!#REF!</definedName>
    <definedName name="BExZS2OY9JTSSP01ZQ6V2T2LO5R9" localSheetId="15" hidden="1">#REF!</definedName>
    <definedName name="BExZS2OY9JTSSP01ZQ6V2T2LO5R9" localSheetId="16" hidden="1">#REF!</definedName>
    <definedName name="BExZS2OY9JTSSP01ZQ6V2T2LO5R9" localSheetId="20" hidden="1">#REF!</definedName>
    <definedName name="BExZS2OY9JTSSP01ZQ6V2T2LO5R9" hidden="1">#REF!</definedName>
    <definedName name="BExZSI9USDLZAN8LI8M4YYQL24GZ" localSheetId="20" hidden="1">#REF!</definedName>
    <definedName name="BExZSI9USDLZAN8LI8M4YYQL24GZ" hidden="1">#REF!</definedName>
    <definedName name="BExZSM0TL3458X254CZLZZ3GBCNQ" localSheetId="20" hidden="1">#REF!</definedName>
    <definedName name="BExZSM0TL3458X254CZLZZ3GBCNQ" hidden="1">#REF!</definedName>
    <definedName name="BExZSPX0YNISGS8SVTI69D6NC4IM" localSheetId="20" hidden="1">#REF!</definedName>
    <definedName name="BExZSPX0YNISGS8SVTI69D6NC4IM" hidden="1">#REF!</definedName>
    <definedName name="BExZSS0LA2JY4ZLJ1Z5YCMLJJZCH" localSheetId="20" hidden="1">#REF!</definedName>
    <definedName name="BExZSS0LA2JY4ZLJ1Z5YCMLJJZCH" hidden="1">#REF!</definedName>
    <definedName name="BExZTAQV2QVSZY5Y3VCCWUBSBW9P" localSheetId="20" hidden="1">#REF!</definedName>
    <definedName name="BExZTAQV2QVSZY5Y3VCCWUBSBW9P" hidden="1">#REF!</definedName>
    <definedName name="BExZTBN9GZGBJ8KW4A2BZPUYXU1F" localSheetId="20" hidden="1">#REF!</definedName>
    <definedName name="BExZTBN9GZGBJ8KW4A2BZPUYXU1F" hidden="1">#REF!</definedName>
    <definedName name="BExZTHSI2FX56PWRSNX9H5EWTZFO" localSheetId="20" hidden="1">#REF!</definedName>
    <definedName name="BExZTHSI2FX56PWRSNX9H5EWTZFO" hidden="1">#REF!</definedName>
    <definedName name="BExZTI39Q2UFW9SVCC3Q73QVFBU8" localSheetId="20" hidden="1">#REF!</definedName>
    <definedName name="BExZTI39Q2UFW9SVCC3Q73QVFBU8" hidden="1">#REF!</definedName>
    <definedName name="BExZTJL3HVBFY139H6CJHEQCT1EL" localSheetId="20" hidden="1">#REF!</definedName>
    <definedName name="BExZTJL3HVBFY139H6CJHEQCT1EL" hidden="1">#REF!</definedName>
    <definedName name="BExZTLOL8OPABZI453E0KVNA1GJS" localSheetId="20" hidden="1">#REF!</definedName>
    <definedName name="BExZTLOL8OPABZI453E0KVNA1GJS" hidden="1">#REF!</definedName>
    <definedName name="BExZTT6J3X0TOX0ZY6YPLUVMCW9X" localSheetId="20" hidden="1">#REF!</definedName>
    <definedName name="BExZTT6J3X0TOX0ZY6YPLUVMCW9X" hidden="1">#REF!</definedName>
    <definedName name="BExZTW6ECBRA0BBITWBQ8R93RMCL" localSheetId="20" hidden="1">#REF!</definedName>
    <definedName name="BExZTW6ECBRA0BBITWBQ8R93RMCL" hidden="1">#REF!</definedName>
    <definedName name="BExZU2BHYAOKSCBM3C5014ZF6IXS" localSheetId="20" hidden="1">#REF!</definedName>
    <definedName name="BExZU2BHYAOKSCBM3C5014ZF6IXS" hidden="1">#REF!</definedName>
    <definedName name="BExZU2RMJTXOCS0ROPMYPE6WTD87" localSheetId="20" hidden="1">#REF!</definedName>
    <definedName name="BExZU2RMJTXOCS0ROPMYPE6WTD87" hidden="1">#REF!</definedName>
    <definedName name="BExZUF7G8FENTJKH9R1XUWXM6CWD" localSheetId="20" hidden="1">#REF!</definedName>
    <definedName name="BExZUF7G8FENTJKH9R1XUWXM6CWD" hidden="1">#REF!</definedName>
    <definedName name="BExZUNARUJBIZ08VCAV3GEVBIR3D" localSheetId="20" hidden="1">#REF!</definedName>
    <definedName name="BExZUNARUJBIZ08VCAV3GEVBIR3D" hidden="1">#REF!</definedName>
    <definedName name="BExZUSZT5496UMBP4LFSLTR1GVEW" localSheetId="20" hidden="1">#REF!</definedName>
    <definedName name="BExZUSZT5496UMBP4LFSLTR1GVEW" hidden="1">#REF!</definedName>
    <definedName name="BExZUT54340I38GVCV79EL116WR0" localSheetId="20" hidden="1">#REF!</definedName>
    <definedName name="BExZUT54340I38GVCV79EL116WR0" hidden="1">#REF!</definedName>
    <definedName name="BExZUYDULCX65H9OZ9JHPBNKF3MI" localSheetId="20" hidden="1">#REF!</definedName>
    <definedName name="BExZUYDULCX65H9OZ9JHPBNKF3MI" hidden="1">#REF!</definedName>
    <definedName name="BExZV0192UZZ9JSP428VREBB1ZDY" localSheetId="20" hidden="1">#REF!</definedName>
    <definedName name="BExZV0192UZZ9JSP428VREBB1ZDY" hidden="1">#REF!</definedName>
    <definedName name="BExZV2QD5ZDK3AGDRULLA7JB46C3" localSheetId="20" hidden="1">#REF!</definedName>
    <definedName name="BExZV2QD5ZDK3AGDRULLA7JB46C3" hidden="1">#REF!</definedName>
    <definedName name="BExZV5FHALJ3O5Z9X9CYXRUGCC6O" localSheetId="20" hidden="1">#REF!</definedName>
    <definedName name="BExZV5FHALJ3O5Z9X9CYXRUGCC6O" hidden="1">#REF!</definedName>
    <definedName name="BExZVBQ29OM0V8XAL3HL0JIM0MMU" localSheetId="20" hidden="1">#REF!</definedName>
    <definedName name="BExZVBQ29OM0V8XAL3HL0JIM0MMU" hidden="1">#REF!</definedName>
    <definedName name="BExZVEPYS6HYXG8RN9GMWZTHDEMK" localSheetId="20" hidden="1">#REF!</definedName>
    <definedName name="BExZVEPYS6HYXG8RN9GMWZTHDEMK" hidden="1">#REF!</definedName>
    <definedName name="BExZVLM4T9ORS4ZWHME46U4Q103C" localSheetId="20" hidden="1">#REF!</definedName>
    <definedName name="BExZVLM4T9ORS4ZWHME46U4Q103C" hidden="1">#REF!</definedName>
    <definedName name="BExZVM7OZWPPRH5YQW50EYMMIW1A" localSheetId="20" hidden="1">#REF!</definedName>
    <definedName name="BExZVM7OZWPPRH5YQW50EYMMIW1A" hidden="1">#REF!</definedName>
    <definedName name="BExZVPYGX2C5OSHMZ6F0KBKZ6B1S" localSheetId="20" hidden="1">#REF!</definedName>
    <definedName name="BExZVPYGX2C5OSHMZ6F0KBKZ6B1S" hidden="1">#REF!</definedName>
    <definedName name="BExZW5UARC8W9AQNLJX2I5WQWS5F" localSheetId="20" hidden="1">#REF!</definedName>
    <definedName name="BExZW5UARC8W9AQNLJX2I5WQWS5F" hidden="1">#REF!</definedName>
    <definedName name="BExZW7HRGN6A9YS41KI2B2UUMJ7X" localSheetId="20" hidden="1">#REF!</definedName>
    <definedName name="BExZW7HRGN6A9YS41KI2B2UUMJ7X" hidden="1">#REF!</definedName>
    <definedName name="BExZW8ZPNV43UXGOT98FDNIBQHZY" localSheetId="20" hidden="1">#REF!</definedName>
    <definedName name="BExZW8ZPNV43UXGOT98FDNIBQHZY" hidden="1">#REF!</definedName>
    <definedName name="BExZWKZ5N3RDXU8MZ8HQVYYD8O0F" localSheetId="20" hidden="1">#REF!</definedName>
    <definedName name="BExZWKZ5N3RDXU8MZ8HQVYYD8O0F" hidden="1">#REF!</definedName>
    <definedName name="BExZWSMC9T48W74GFGQCIUJ8ZPP3" localSheetId="20" hidden="1">#REF!</definedName>
    <definedName name="BExZWSMC9T48W74GFGQCIUJ8ZPP3" hidden="1">#REF!</definedName>
    <definedName name="BExZWUF2V4HY3HI8JN9ZVPRWK1H3" localSheetId="20" hidden="1">#REF!</definedName>
    <definedName name="BExZWUF2V4HY3HI8JN9ZVPRWK1H3" hidden="1">#REF!</definedName>
    <definedName name="BExZWX45URTK9KYDJHEXL1OTZ833" localSheetId="20" hidden="1">#REF!</definedName>
    <definedName name="BExZWX45URTK9KYDJHEXL1OTZ833" hidden="1">#REF!</definedName>
    <definedName name="BExZWYRG26HN53ZPZ5ERJKTS6RJ1" localSheetId="20" hidden="1">#REF!</definedName>
    <definedName name="BExZWYRG26HN53ZPZ5ERJKTS6RJ1" hidden="1">#REF!</definedName>
    <definedName name="BExZX0EWQEZO86WDAD9A4EAEZ012" localSheetId="20" hidden="1">#REF!</definedName>
    <definedName name="BExZX0EWQEZO86WDAD9A4EAEZ012" hidden="1">#REF!</definedName>
    <definedName name="BExZX2T6ZT2DZLYSDJJBPVIT5OK2" localSheetId="20" hidden="1">#REF!</definedName>
    <definedName name="BExZX2T6ZT2DZLYSDJJBPVIT5OK2" hidden="1">#REF!</definedName>
    <definedName name="BExZXD01YCC2UKH6829EC0LCWB3B" localSheetId="20" hidden="1">#REF!</definedName>
    <definedName name="BExZXD01YCC2UKH6829EC0LCWB3B" hidden="1">#REF!</definedName>
    <definedName name="BExZXK6UA4ZV3XPC2N2NRSI4ZR6H" localSheetId="20" hidden="1">#REF!</definedName>
    <definedName name="BExZXK6UA4ZV3XPC2N2NRSI4ZR6H" hidden="1">#REF!</definedName>
    <definedName name="BExZXOJDELULNLEH7WG0OYJT0NJ4" localSheetId="20" hidden="1">#REF!</definedName>
    <definedName name="BExZXOJDELULNLEH7WG0OYJT0NJ4" hidden="1">#REF!</definedName>
    <definedName name="BExZXOOTRNUK8LGEAZ8ZCFW9KXQ1" localSheetId="20" hidden="1">#REF!</definedName>
    <definedName name="BExZXOOTRNUK8LGEAZ8ZCFW9KXQ1" hidden="1">#REF!</definedName>
    <definedName name="BExZXT6JOXNKEDU23DKL8XZAJZIH" localSheetId="20" hidden="1">#REF!</definedName>
    <definedName name="BExZXT6JOXNKEDU23DKL8XZAJZIH" hidden="1">#REF!</definedName>
    <definedName name="BExZXUTYW1HWEEZ1LIX4OQWC7HL1" localSheetId="20" hidden="1">#REF!</definedName>
    <definedName name="BExZXUTYW1HWEEZ1LIX4OQWC7HL1" hidden="1">#REF!</definedName>
    <definedName name="BExZXY4NKQL9QD76YMQJ15U1C2G8" localSheetId="20" hidden="1">#REF!</definedName>
    <definedName name="BExZXY4NKQL9QD76YMQJ15U1C2G8" hidden="1">#REF!</definedName>
    <definedName name="BExZXYQ7U5G08FQGUIGYT14QCBOF" localSheetId="20" hidden="1">#REF!</definedName>
    <definedName name="BExZXYQ7U5G08FQGUIGYT14QCBOF" hidden="1">#REF!</definedName>
    <definedName name="BExZY02V77YJBMODJSWZOYCMPS5X" localSheetId="20" hidden="1">#REF!</definedName>
    <definedName name="BExZY02V77YJBMODJSWZOYCMPS5X" hidden="1">#REF!</definedName>
    <definedName name="BExZY49QRZIR6CA41LFA9LM6EULU" localSheetId="20" hidden="1">#REF!</definedName>
    <definedName name="BExZY49QRZIR6CA41LFA9LM6EULU" hidden="1">#REF!</definedName>
    <definedName name="BExZYB62GGL1SOZY9U68AATTICHU" localSheetId="20" hidden="1">#REF!</definedName>
    <definedName name="BExZYB62GGL1SOZY9U68AATTICHU" hidden="1">#REF!</definedName>
    <definedName name="BExZYBBCV1AW9XEIT73TO2286ETP" localSheetId="20" hidden="1">#REF!</definedName>
    <definedName name="BExZYBBCV1AW9XEIT73TO2286ETP" hidden="1">#REF!</definedName>
    <definedName name="BExZYF262HRLEVP6L4KINWX6HBYI" localSheetId="20" hidden="1">#REF!</definedName>
    <definedName name="BExZYF262HRLEVP6L4KINWX6HBYI" hidden="1">#REF!</definedName>
    <definedName name="BExZZ2FQA9A8C7CJKMEFQ9VPSLCE" localSheetId="20" hidden="1">#REF!</definedName>
    <definedName name="BExZZ2FQA9A8C7CJKMEFQ9VPSLCE" hidden="1">#REF!</definedName>
    <definedName name="BExZZCHAVHW8C2H649KRGVQ0WVRT" localSheetId="20" hidden="1">#REF!</definedName>
    <definedName name="BExZZCHAVHW8C2H649KRGVQ0WVRT" hidden="1">#REF!</definedName>
    <definedName name="BExZZGIVJRHKETRE8HACEQE30128" localSheetId="20" hidden="1">#REF!</definedName>
    <definedName name="BExZZGIVJRHKETRE8HACEQE30128" hidden="1">#REF!</definedName>
    <definedName name="BExZZTK54OTLF2YB68BHGOS27GEN" localSheetId="20" hidden="1">#REF!</definedName>
    <definedName name="BExZZTK54OTLF2YB68BHGOS27GEN" hidden="1">#REF!</definedName>
    <definedName name="BExZZXB3JQQG4SIZS4MRU6NNW7HI" localSheetId="20" hidden="1">#REF!</definedName>
    <definedName name="BExZZXB3JQQG4SIZS4MRU6NNW7HI" hidden="1">#REF!</definedName>
    <definedName name="BExZZZEMIIFKMLLV4DJKX5TB9R5V" localSheetId="20" hidden="1">#REF!</definedName>
    <definedName name="BExZZZEMIIFKMLLV4DJKX5TB9R5V" hidden="1">#REF!</definedName>
    <definedName name="BG.print">#REF!</definedName>
    <definedName name="BGS_Cost_Scenario">[25]Assumptions!$E$33</definedName>
    <definedName name="BGS_Forecast">[40]Assumptions!#REF!</definedName>
    <definedName name="BGS_Rate" localSheetId="3">#REF!</definedName>
    <definedName name="BGS_Rate">#REF!</definedName>
    <definedName name="BGS_RFP">[25]Assumptions!$E$36</definedName>
    <definedName name="Bill" localSheetId="3">#REF!</definedName>
    <definedName name="Bill">#REF!</definedName>
    <definedName name="bill1" localSheetId="3">#REF!</definedName>
    <definedName name="bill1">#REF!</definedName>
    <definedName name="bill2" localSheetId="3">#REF!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 localSheetId="3">#REF!</definedName>
    <definedName name="Biomass_Growth_YR_2003">#REF!</definedName>
    <definedName name="Biomass_Growth_YR_2004" localSheetId="3">#REF!</definedName>
    <definedName name="Biomass_Growth_YR_2004">#REF!</definedName>
    <definedName name="Biomass_Growth_YR_2005" localSheetId="3">#REF!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 localSheetId="3">#REF!</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 localSheetId="3">#REF!</definedName>
    <definedName name="Brenda">#REF!</definedName>
    <definedName name="bu10total100" localSheetId="3">#REF!</definedName>
    <definedName name="bu10total100">#REF!</definedName>
    <definedName name="bu10total100a" localSheetId="3">#REF!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 localSheetId="3">#REF!</definedName>
    <definedName name="bu10total99">#REF!</definedName>
    <definedName name="bu10total99a" localSheetId="3">#REF!</definedName>
    <definedName name="bu10total99a">#REF!</definedName>
    <definedName name="bu11total100" localSheetId="3">#REF!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 localSheetId="3">#REF!</definedName>
    <definedName name="bu11total99">#REF!</definedName>
    <definedName name="bu11total99a" localSheetId="3">#REF!</definedName>
    <definedName name="bu11total99a">#REF!</definedName>
    <definedName name="bu12total100" localSheetId="3">#REF!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 localSheetId="3">#REF!</definedName>
    <definedName name="bu12total99">#REF!</definedName>
    <definedName name="bu12total99a" localSheetId="3">#REF!</definedName>
    <definedName name="bu12total99a">#REF!</definedName>
    <definedName name="bu13total100" localSheetId="3">#REF!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 localSheetId="3">#REF!</definedName>
    <definedName name="bu13total99">#REF!</definedName>
    <definedName name="bu13total99a" localSheetId="3">#REF!</definedName>
    <definedName name="bu13total99a">#REF!</definedName>
    <definedName name="bu14total100" localSheetId="3">#REF!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 localSheetId="3">#REF!</definedName>
    <definedName name="bu14total99">#REF!</definedName>
    <definedName name="bu14total99a" localSheetId="3">#REF!</definedName>
    <definedName name="bu14total99a">#REF!</definedName>
    <definedName name="bu15total100" localSheetId="3">#REF!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 localSheetId="3">#REF!</definedName>
    <definedName name="bu15total99">#REF!</definedName>
    <definedName name="bu15total99a" localSheetId="3">#REF!</definedName>
    <definedName name="bu15total99a">#REF!</definedName>
    <definedName name="bu16total100" localSheetId="3">#REF!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 localSheetId="3">#REF!</definedName>
    <definedName name="bu16total99">#REF!</definedName>
    <definedName name="bu16total99a" localSheetId="3">#REF!</definedName>
    <definedName name="bu16total99a">#REF!</definedName>
    <definedName name="bu17total100" localSheetId="3">#REF!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 localSheetId="3">#REF!</definedName>
    <definedName name="bu17total99">#REF!</definedName>
    <definedName name="bu17total99a" localSheetId="3">#REF!</definedName>
    <definedName name="bu17total99a">#REF!</definedName>
    <definedName name="bu18total100" localSheetId="3">#REF!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 localSheetId="3">#REF!</definedName>
    <definedName name="bu18total99">#REF!</definedName>
    <definedName name="bu18total99a" localSheetId="3">#REF!</definedName>
    <definedName name="bu18total99a">#REF!</definedName>
    <definedName name="bu19total100" localSheetId="3">#REF!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 localSheetId="3">#REF!</definedName>
    <definedName name="bu19total99">#REF!</definedName>
    <definedName name="bu19total99a" localSheetId="3">#REF!</definedName>
    <definedName name="bu19total99a">#REF!</definedName>
    <definedName name="bu1total100" localSheetId="3">#REF!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 localSheetId="3">#REF!</definedName>
    <definedName name="bu1total99">#REF!</definedName>
    <definedName name="bu1total99a" localSheetId="3">#REF!</definedName>
    <definedName name="bu1total99a">#REF!</definedName>
    <definedName name="bu20total100" localSheetId="3">#REF!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 localSheetId="3">#REF!</definedName>
    <definedName name="bu20total99">#REF!</definedName>
    <definedName name="bu20total99a" localSheetId="3">#REF!</definedName>
    <definedName name="bu20total99a">#REF!</definedName>
    <definedName name="bu21total100" localSheetId="3">#REF!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 localSheetId="3">#REF!</definedName>
    <definedName name="bu21total99">#REF!</definedName>
    <definedName name="bu21total99a" localSheetId="3">#REF!</definedName>
    <definedName name="bu21total99a">#REF!</definedName>
    <definedName name="bu22total100" localSheetId="3">#REF!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 localSheetId="3">#REF!</definedName>
    <definedName name="bu22total99">#REF!</definedName>
    <definedName name="bu22total99a" localSheetId="3">#REF!</definedName>
    <definedName name="bu22total99a">#REF!</definedName>
    <definedName name="bu23total100" localSheetId="3">#REF!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 localSheetId="3">#REF!</definedName>
    <definedName name="bu23total99">#REF!</definedName>
    <definedName name="bu23total99a" localSheetId="3">#REF!</definedName>
    <definedName name="bu23total99a">#REF!</definedName>
    <definedName name="bu2total100" localSheetId="3">#REF!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 localSheetId="3">#REF!</definedName>
    <definedName name="bu2total99">#REF!</definedName>
    <definedName name="bu2total99a" localSheetId="3">#REF!</definedName>
    <definedName name="bu2total99a">#REF!</definedName>
    <definedName name="bu3total100" localSheetId="3">#REF!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 localSheetId="3">#REF!</definedName>
    <definedName name="bu3total99">#REF!</definedName>
    <definedName name="bu3total99a" localSheetId="3">#REF!</definedName>
    <definedName name="bu3total99a">#REF!</definedName>
    <definedName name="bu4total100" localSheetId="3">#REF!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 localSheetId="3">#REF!</definedName>
    <definedName name="bu4total99">#REF!</definedName>
    <definedName name="bu4total99a" localSheetId="3">#REF!</definedName>
    <definedName name="bu4total99a">#REF!</definedName>
    <definedName name="bu5total100" localSheetId="3">#REF!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 localSheetId="3">#REF!</definedName>
    <definedName name="bu5total99">#REF!</definedName>
    <definedName name="bu5total99a" localSheetId="3">#REF!</definedName>
    <definedName name="bu5total99a">#REF!</definedName>
    <definedName name="bu6total100" localSheetId="3">#REF!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 localSheetId="3">#REF!</definedName>
    <definedName name="bu6total99">#REF!</definedName>
    <definedName name="bu6total99a" localSheetId="3">#REF!</definedName>
    <definedName name="bu6total99a">#REF!</definedName>
    <definedName name="bu7total100" localSheetId="3">#REF!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 localSheetId="3">#REF!</definedName>
    <definedName name="bu7total99">#REF!</definedName>
    <definedName name="bu7total99a" localSheetId="3">#REF!</definedName>
    <definedName name="bu7total99a">#REF!</definedName>
    <definedName name="bu8total100" localSheetId="3">#REF!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 localSheetId="3">#REF!</definedName>
    <definedName name="bu8total99">#REF!</definedName>
    <definedName name="bu8total99a" localSheetId="3">#REF!</definedName>
    <definedName name="bu8total99a">#REF!</definedName>
    <definedName name="bu9total100" localSheetId="3">#REF!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 localSheetId="3">#REF!</definedName>
    <definedName name="bu9total99">#REF!</definedName>
    <definedName name="bu9total99a" localSheetId="3">#REF!</definedName>
    <definedName name="bu9total99a">#REF!</definedName>
    <definedName name="budget" localSheetId="3">#REF!</definedName>
    <definedName name="budget">#REF!</definedName>
    <definedName name="Budget_Info">#REF!</definedName>
    <definedName name="BUN">#REF!</definedName>
    <definedName name="C_">'[42]RR 8 2'!#REF!</definedName>
    <definedName name="CALC_C03" localSheetId="3">#REF!</definedName>
    <definedName name="CALC_C03">#REF!</definedName>
    <definedName name="CALC_C04" localSheetId="3">#REF!</definedName>
    <definedName name="CALC_C04">#REF!</definedName>
    <definedName name="CALC_C09" localSheetId="3">#REF!</definedName>
    <definedName name="CALC_C09">#REF!</definedName>
    <definedName name="CALC_LRG">#REF!</definedName>
    <definedName name="CALC_XLG">#REF!</definedName>
    <definedName name="CALCULATION">#REF!</definedName>
    <definedName name="can" localSheetId="21" hidden="1">{#N/A,#N/A,FALSE,"O&amp;M by processes";#N/A,#N/A,FALSE,"Elec Act vs Bud";#N/A,#N/A,FALSE,"G&amp;A";#N/A,#N/A,FALSE,"BGS";#N/A,#N/A,FALSE,"Res Cost"}</definedName>
    <definedName name="can" localSheetId="24"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 localSheetId="3">#REF!</definedName>
    <definedName name="CapBank2">#REF!</definedName>
    <definedName name="Capital_Investment_excl._Corp._Alloc." localSheetId="3">#REF!</definedName>
    <definedName name="Capital_Investment_excl._Corp._Alloc.">#REF!</definedName>
    <definedName name="Capital_Investments_CPM" localSheetId="3">#REF!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1" hidden="1">{#N/A,#N/A,FALSE,"Monthly SAIFI";#N/A,#N/A,FALSE,"Yearly SAIFI";#N/A,#N/A,FALSE,"Monthly CAIDI";#N/A,#N/A,FALSE,"Yearly CAIDI";#N/A,#N/A,FALSE,"Monthly SAIDI";#N/A,#N/A,FALSE,"Yearly SAIDI";#N/A,#N/A,FALSE,"Monthly MAIFI";#N/A,#N/A,FALSE,"Yearly MAIFI";#N/A,#N/A,FALSE,"Monthly Cust &gt;=4 Int"}</definedName>
    <definedName name="cbcvbcv" localSheetId="24" hidden="1">{#N/A,#N/A,FALSE,"Monthly SAIFI";#N/A,#N/A,FALSE,"Yearly SAIFI";#N/A,#N/A,FALSE,"Monthly CAIDI";#N/A,#N/A,FALSE,"Yearly CAIDI";#N/A,#N/A,FALSE,"Monthly SAIDI";#N/A,#N/A,FALSE,"Yearly SAIDI";#N/A,#N/A,FALSE,"Monthly MAIFI";#N/A,#N/A,FALSE,"Yearly MAIFI";#N/A,#N/A,FALSE,"Monthly Cust &gt;=4 Int"}</definedName>
    <definedName name="cbcvbcv" localSheetId="3"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1" hidden="1">{#N/A,#N/A,FALSE,"Monthly SAIFI";#N/A,#N/A,FALSE,"Yearly SAIFI";#N/A,#N/A,FALSE,"Monthly CAIDI";#N/A,#N/A,FALSE,"Yearly CAIDI";#N/A,#N/A,FALSE,"Monthly SAIDI";#N/A,#N/A,FALSE,"Yearly SAIDI";#N/A,#N/A,FALSE,"Monthly MAIFI";#N/A,#N/A,FALSE,"Yearly MAIFI";#N/A,#N/A,FALSE,"Monthly Cust &gt;=4 Int"}</definedName>
    <definedName name="ccbbcvbc" localSheetId="24" hidden="1">{#N/A,#N/A,FALSE,"Monthly SAIFI";#N/A,#N/A,FALSE,"Yearly SAIFI";#N/A,#N/A,FALSE,"Monthly CAIDI";#N/A,#N/A,FALSE,"Yearly CAIDI";#N/A,#N/A,FALSE,"Monthly SAIDI";#N/A,#N/A,FALSE,"Yearly SAIDI";#N/A,#N/A,FALSE,"Monthly MAIFI";#N/A,#N/A,FALSE,"Yearly MAIFI";#N/A,#N/A,FALSE,"Monthly Cust &gt;=4 Int"}</definedName>
    <definedName name="ccbbcvbc" localSheetId="3"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1" hidden="1">{#N/A,#N/A,FALSE,"O&amp;M by processes";#N/A,#N/A,FALSE,"Elec Act vs Bud";#N/A,#N/A,FALSE,"G&amp;A";#N/A,#N/A,FALSE,"BGS";#N/A,#N/A,FALSE,"Res Cost"}</definedName>
    <definedName name="ccc" localSheetId="24"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24"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 localSheetId="3">#REF!</definedName>
    <definedName name="cents">#REF!</definedName>
    <definedName name="CEP_Amortization">'[41]JFJ-4 CEP Rate'!$A$28:$F$78</definedName>
    <definedName name="cf_90" localSheetId="3">#REF!</definedName>
    <definedName name="cf_90">#REF!</definedName>
    <definedName name="cf_91" localSheetId="3">#REF!</definedName>
    <definedName name="cf_91">#REF!</definedName>
    <definedName name="cf_92" localSheetId="3">#REF!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 localSheetId="3">#REF!</definedName>
    <definedName name="Citizens2003">#REF!</definedName>
    <definedName name="Citizens2004" localSheetId="3">#REF!</definedName>
    <definedName name="Citizens2004">#REF!</definedName>
    <definedName name="Citizens2005" localSheetId="3">#REF!</definedName>
    <definedName name="Citizens2005">#REF!</definedName>
    <definedName name="Citizens2006">#REF!</definedName>
    <definedName name="Citizens2007">#REF!</definedName>
    <definedName name="Citizens2008">#REF!</definedName>
    <definedName name="CLASSES">#N/A</definedName>
    <definedName name="cleanup" localSheetId="24" hidden="1">{#N/A,#N/A,TRUE,"TAXPROV";#N/A,#N/A,TRUE,"FLOWTHRU";#N/A,#N/A,TRUE,"SCHEDULE M'S";#N/A,#N/A,TRUE,"PLANT M'S";#N/A,#N/A,TRUE,"TAXJE"}</definedName>
    <definedName name="cleanup" localSheetId="3"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 localSheetId="3">#REF!</definedName>
    <definedName name="Coal_Growth_YR_2003">#REF!</definedName>
    <definedName name="Coal_Growth_YR_2004" localSheetId="3">#REF!</definedName>
    <definedName name="Coal_Growth_YR_2004">#REF!</definedName>
    <definedName name="Coal_Growth_YR_2005" localSheetId="3">#REF!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 localSheetId="3">#REF!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 localSheetId="3">#REF!</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 localSheetId="3">#REF!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 localSheetId="3">#REF!</definedName>
    <definedName name="COGS_Affiliate_CPM">#REF!</definedName>
    <definedName name="ColorNames" localSheetId="3">#REF!</definedName>
    <definedName name="ColorNames">#REF!</definedName>
    <definedName name="Commercial_Paper_CPM" localSheetId="3">#REF!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 localSheetId="3">#REF!</definedName>
    <definedName name="CompanyTextLen">#REF!</definedName>
    <definedName name="COMPAR_PRT_RNG">[10]Comparison!$B$8:$BT$170</definedName>
    <definedName name="compInc">[46]Inputs!$B$4</definedName>
    <definedName name="CONSOLDEFTAXBAL" localSheetId="3">#REF!</definedName>
    <definedName name="CONSOLDEFTAXBAL">#REF!</definedName>
    <definedName name="CONSOLDEFTAXSUM" localSheetId="3">#REF!</definedName>
    <definedName name="CONSOLDEFTAXSUM">#REF!</definedName>
    <definedName name="Consolid" localSheetId="21" hidden="1">{#N/A,#N/A,FALSE,"O&amp;M by processes";#N/A,#N/A,FALSE,"Elec Act vs Bud";#N/A,#N/A,FALSE,"G&amp;A";#N/A,#N/A,FALSE,"BGS";#N/A,#N/A,FALSE,"Res Cost"}</definedName>
    <definedName name="Consolid" localSheetId="24"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24"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 localSheetId="3">#REF!</definedName>
    <definedName name="Contract_Services">#REF!</definedName>
    <definedName name="Conventions" localSheetId="3">#REF!</definedName>
    <definedName name="Conventions">#REF!</definedName>
    <definedName name="CONVERT_IT" localSheetId="3">#REF!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 localSheetId="3">#REF!</definedName>
    <definedName name="CORPPA2003">#REF!</definedName>
    <definedName name="CORPPA2004" localSheetId="3">#REF!</definedName>
    <definedName name="CORPPA2004">#REF!</definedName>
    <definedName name="CORPPA2005" localSheetId="3">#REF!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 localSheetId="3">#REF!</definedName>
    <definedName name="Cost_of_Goods_Sold">#REF!</definedName>
    <definedName name="Cost_of_Goods_Sold_CPM" localSheetId="3">#REF!</definedName>
    <definedName name="Cost_of_Goods_Sold_CPM">#REF!</definedName>
    <definedName name="cost2001">[48]Input!$M$23</definedName>
    <definedName name="COUNTER">'[10]Macro Tables'!$C$21</definedName>
    <definedName name="cover" localSheetId="3">#REF!</definedName>
    <definedName name="cover">#REF!</definedName>
    <definedName name="CP">#N/A</definedName>
    <definedName name="CP_1">#N/A</definedName>
    <definedName name="CP_PG1B" localSheetId="3">#REF!</definedName>
    <definedName name="CP_PG1B">#REF!</definedName>
    <definedName name="cp_pg2" localSheetId="3">#REF!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 localSheetId="3">#REF!</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 localSheetId="3">#REF!</definedName>
    <definedName name="CUTINT1">#REF!</definedName>
    <definedName name="CUTINT2" localSheetId="3">#REF!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 localSheetId="3">#REF!</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1" hidden="1">{#N/A,#N/A,FALSE,"O&amp;M by processes";#N/A,#N/A,FALSE,"Elec Act vs Bud";#N/A,#N/A,FALSE,"G&amp;A";#N/A,#N/A,FALSE,"BGS";#N/A,#N/A,FALSE,"Res Cost"}</definedName>
    <definedName name="da" localSheetId="24" hidden="1">{#N/A,#N/A,FALSE,"O&amp;M by processes";#N/A,#N/A,FALSE,"Elec Act vs Bud";#N/A,#N/A,FALSE,"G&amp;A";#N/A,#N/A,FALSE,"BGS";#N/A,#N/A,FALSE,"Res Cost"}</definedName>
    <definedName name="da" localSheetId="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24"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1" hidden="1">{#N/A,#N/A,FALSE,"Monthly SAIFI";#N/A,#N/A,FALSE,"Yearly SAIFI";#N/A,#N/A,FALSE,"Monthly CAIDI";#N/A,#N/A,FALSE,"Yearly CAIDI";#N/A,#N/A,FALSE,"Monthly SAIDI";#N/A,#N/A,FALSE,"Yearly SAIDI";#N/A,#N/A,FALSE,"Monthly MAIFI";#N/A,#N/A,FALSE,"Yearly MAIFI";#N/A,#N/A,FALSE,"Monthly Cust &gt;=4 Int"}</definedName>
    <definedName name="DASDD" localSheetId="24" hidden="1">{#N/A,#N/A,FALSE,"Monthly SAIFI";#N/A,#N/A,FALSE,"Yearly SAIFI";#N/A,#N/A,FALSE,"Monthly CAIDI";#N/A,#N/A,FALSE,"Yearly CAIDI";#N/A,#N/A,FALSE,"Monthly SAIDI";#N/A,#N/A,FALSE,"Yearly SAIDI";#N/A,#N/A,FALSE,"Monthly MAIFI";#N/A,#N/A,FALSE,"Yearly MAIFI";#N/A,#N/A,FALSE,"Monthly Cust &gt;=4 Int"}</definedName>
    <definedName name="DASDD" localSheetId="3"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 localSheetId="3">#REF!</definedName>
    <definedName name="DATA05">#REF!</definedName>
    <definedName name="Data06" localSheetId="3">#REF!</definedName>
    <definedName name="Data06">#REF!</definedName>
    <definedName name="DATA1" localSheetId="3">'[50]New Accts 2009'!#REF!</definedName>
    <definedName name="DATA1">'[50]New Accts 2009'!#REF!</definedName>
    <definedName name="DATA10" localSheetId="3">'[51]3640'!#REF!</definedName>
    <definedName name="DATA10">'[51]3640'!#REF!</definedName>
    <definedName name="DATA11">'[51]3640'!#REF!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#REF!</definedName>
    <definedName name="DATA2">'[52]190100'!#REF!</definedName>
    <definedName name="DATA3">'[52]190100'!#REF!</definedName>
    <definedName name="DATA4">'[52]190100'!#REF!</definedName>
    <definedName name="DATA5" localSheetId="3">#REF!</definedName>
    <definedName name="DATA5">#REF!</definedName>
    <definedName name="DATA6" localSheetId="3">#REF!</definedName>
    <definedName name="DATA6">#REF!</definedName>
    <definedName name="DATA7" localSheetId="3">'[52]190100'!#REF!</definedName>
    <definedName name="DATA7">'[52]190100'!#REF!</definedName>
    <definedName name="DATA8" localSheetId="3">'[52]190100'!#REF!</definedName>
    <definedName name="DATA8">'[52]190100'!#REF!</definedName>
    <definedName name="DATA9">'[51]3640'!#REF!</definedName>
    <definedName name="data97" localSheetId="3">#REF!</definedName>
    <definedName name="data97">#REF!</definedName>
    <definedName name="_xlnm.Database">[53]DSUM!#REF!</definedName>
    <definedName name="Database_MI" localSheetId="3">#REF!</definedName>
    <definedName name="Database_MI">#REF!</definedName>
    <definedName name="DATAFEEDER">[54]!DATAFEEDER</definedName>
    <definedName name="DATALINE">'[1]Header Data'!#REF!</definedName>
    <definedName name="Date" localSheetId="21" hidden="1">"b1"</definedName>
    <definedName name="Date" localSheetId="15" hidden="1">"b1"</definedName>
    <definedName name="Date" localSheetId="14" hidden="1">"b1"</definedName>
    <definedName name="Date" localSheetId="19" hidden="1">"b1"</definedName>
    <definedName name="Date" localSheetId="20" hidden="1">"b1"</definedName>
    <definedName name="Date">[55]Settings!$F$23</definedName>
    <definedName name="DATE1" localSheetId="3">#REF!</definedName>
    <definedName name="DATE1">#REF!</definedName>
    <definedName name="DATE2" localSheetId="3">#REF!</definedName>
    <definedName name="DATE2">#REF!</definedName>
    <definedName name="DATE3" localSheetId="3">#REF!</definedName>
    <definedName name="DATE3">#REF!</definedName>
    <definedName name="DATE4">#REF!</definedName>
    <definedName name="DateTime">#REF!</definedName>
    <definedName name="DB_CPK">#N/A</definedName>
    <definedName name="DB_CPK1">[56]FERCFACT!#REF!</definedName>
    <definedName name="DB_CPK2" localSheetId="3">#REF!</definedName>
    <definedName name="DB_CPK2">#REF!</definedName>
    <definedName name="DB_CPK3" localSheetId="3">#REF!</definedName>
    <definedName name="DB_CPK3">#REF!</definedName>
    <definedName name="DB_CUST">#N/A</definedName>
    <definedName name="DB_EGR">#N/A</definedName>
    <definedName name="DB_EGR1" localSheetId="3">[56]FERCFACT!#REF!</definedName>
    <definedName name="DB_EGR1">[56]FERCFACT!#REF!</definedName>
    <definedName name="DB_EGR2" localSheetId="3">#REF!</definedName>
    <definedName name="DB_EGR2">#REF!</definedName>
    <definedName name="DB_IMAX">#N/A</definedName>
    <definedName name="DB_NCPK">#N/A</definedName>
    <definedName name="DB_NCPK1" localSheetId="3">#REF!</definedName>
    <definedName name="DB_NCPK1">#REF!</definedName>
    <definedName name="DB_NCPK2" localSheetId="3">#REF!</definedName>
    <definedName name="DB_NCPK2">#REF!</definedName>
    <definedName name="DB_NCPK3">#REF!</definedName>
    <definedName name="DB_NCPK4">#REF!</definedName>
    <definedName name="DCIT">#REF!</definedName>
    <definedName name="dd" localSheetId="21"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21" hidden="1">{#N/A,#N/A,FALSE,"Monthly SAIFI";#N/A,#N/A,FALSE,"Yearly SAIFI";#N/A,#N/A,FALSE,"Monthly CAIDI";#N/A,#N/A,FALSE,"Yearly CAIDI";#N/A,#N/A,FALSE,"Monthly SAIDI";#N/A,#N/A,FALSE,"Yearly SAIDI";#N/A,#N/A,FALSE,"Monthly MAIFI";#N/A,#N/A,FALSE,"Yearly MAIFI";#N/A,#N/A,FALSE,"Monthly Cust &gt;=4 Int"}</definedName>
    <definedName name="ddfsaf" localSheetId="24" hidden="1">{#N/A,#N/A,FALSE,"Monthly SAIFI";#N/A,#N/A,FALSE,"Yearly SAIFI";#N/A,#N/A,FALSE,"Monthly CAIDI";#N/A,#N/A,FALSE,"Yearly CAIDI";#N/A,#N/A,FALSE,"Monthly SAIDI";#N/A,#N/A,FALSE,"Yearly SAIDI";#N/A,#N/A,FALSE,"Monthly MAIFI";#N/A,#N/A,FALSE,"Yearly MAIFI";#N/A,#N/A,FALSE,"Monthly Cust &gt;=4 Int"}</definedName>
    <definedName name="ddfsaf" localSheetId="3"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1" hidden="1">{#N/A,#N/A,FALSE,"ARREC"}</definedName>
    <definedName name="DEC00" localSheetId="24" hidden="1">{#N/A,#N/A,FALSE,"ARREC"}</definedName>
    <definedName name="DEC00" localSheetId="3" hidden="1">{#N/A,#N/A,FALSE,"ARREC"}</definedName>
    <definedName name="DEC00" localSheetId="15" hidden="1">{#N/A,#N/A,FALSE,"ARREC"}</definedName>
    <definedName name="DEC00" localSheetId="16" hidden="1">{#N/A,#N/A,FALSE,"ARREC"}</definedName>
    <definedName name="DEC00" localSheetId="14"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 localSheetId="3">#REF!</definedName>
    <definedName name="Decommissioning_Rate">#REF!</definedName>
    <definedName name="Deferral_Interest_Rate">[25]Assumptions!$H$14</definedName>
    <definedName name="Deferral_Recovery">'[41]JFJ-1 Deferral Recovery Rate'!$A$14:$F$64</definedName>
    <definedName name="Deferred_Assets" localSheetId="3">#REF!</definedName>
    <definedName name="Deferred_Assets">#REF!</definedName>
    <definedName name="Deferred_FIT___ITC_CPM" localSheetId="3">#REF!</definedName>
    <definedName name="Deferred_FIT___ITC_CPM">#REF!</definedName>
    <definedName name="Deferred_Income_Tax___Current_Benefit" localSheetId="3">#REF!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21" hidden="1">{#N/A,#N/A,FALSE,"CURRENT"}</definedName>
    <definedName name="delete" localSheetId="24" hidden="1">{#N/A,#N/A,FALSE,"CURRENT"}</definedName>
    <definedName name="delete" localSheetId="3" hidden="1">{#N/A,#N/A,FALSE,"CURRENT"}</definedName>
    <definedName name="delete" localSheetId="15" hidden="1">{#N/A,#N/A,FALSE,"CURRENT"}</definedName>
    <definedName name="delete" localSheetId="16" hidden="1">{#N/A,#N/A,FALSE,"CURRENT"}</definedName>
    <definedName name="delete" localSheetId="14" hidden="1">{#N/A,#N/A,FALSE,"CURRENT"}</definedName>
    <definedName name="delete" localSheetId="19" hidden="1">{#N/A,#N/A,FALSE,"CURRENT"}</definedName>
    <definedName name="delete" localSheetId="20"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1" hidden="1">{#N/A,#N/A,FALSE,"Monthly SAIFI";#N/A,#N/A,FALSE,"Yearly SAIFI";#N/A,#N/A,FALSE,"Monthly CAIDI";#N/A,#N/A,FALSE,"Yearly CAIDI";#N/A,#N/A,FALSE,"Monthly SAIDI";#N/A,#N/A,FALSE,"Yearly SAIDI";#N/A,#N/A,FALSE,"Monthly MAIFI";#N/A,#N/A,FALSE,"Yearly MAIFI";#N/A,#N/A,FALSE,"Monthly Cust &gt;=4 Int"}</definedName>
    <definedName name="dfasdfsdfZX" localSheetId="24" hidden="1">{#N/A,#N/A,FALSE,"Monthly SAIFI";#N/A,#N/A,FALSE,"Yearly SAIFI";#N/A,#N/A,FALSE,"Monthly CAIDI";#N/A,#N/A,FALSE,"Yearly CAIDI";#N/A,#N/A,FALSE,"Monthly SAIDI";#N/A,#N/A,FALSE,"Yearly SAIDI";#N/A,#N/A,FALSE,"Monthly MAIFI";#N/A,#N/A,FALSE,"Yearly MAIFI";#N/A,#N/A,FALSE,"Monthly Cust &gt;=4 Int"}</definedName>
    <definedName name="dfasdfsdfZX" localSheetId="3"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1" hidden="1">{#N/A,#N/A,FALSE,"Monthly SAIFI";#N/A,#N/A,FALSE,"Yearly SAIFI";#N/A,#N/A,FALSE,"Monthly CAIDI";#N/A,#N/A,FALSE,"Yearly CAIDI";#N/A,#N/A,FALSE,"Monthly SAIDI";#N/A,#N/A,FALSE,"Yearly SAIDI";#N/A,#N/A,FALSE,"Monthly MAIFI";#N/A,#N/A,FALSE,"Yearly MAIFI";#N/A,#N/A,FALSE,"Monthly Cust &gt;=4 Int"}</definedName>
    <definedName name="dfdsfs" localSheetId="24" hidden="1">{#N/A,#N/A,FALSE,"Monthly SAIFI";#N/A,#N/A,FALSE,"Yearly SAIFI";#N/A,#N/A,FALSE,"Monthly CAIDI";#N/A,#N/A,FALSE,"Yearly CAIDI";#N/A,#N/A,FALSE,"Monthly SAIDI";#N/A,#N/A,FALSE,"Yearly SAIDI";#N/A,#N/A,FALSE,"Monthly MAIFI";#N/A,#N/A,FALSE,"Yearly MAIFI";#N/A,#N/A,FALSE,"Monthly Cust &gt;=4 Int"}</definedName>
    <definedName name="dfdsfs" localSheetId="3"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1" hidden="1">{#N/A,#N/A,FALSE,"Monthly SAIFI";#N/A,#N/A,FALSE,"Yearly SAIFI";#N/A,#N/A,FALSE,"Monthly CAIDI";#N/A,#N/A,FALSE,"Yearly CAIDI";#N/A,#N/A,FALSE,"Monthly SAIDI";#N/A,#N/A,FALSE,"Yearly SAIDI";#N/A,#N/A,FALSE,"Monthly MAIFI";#N/A,#N/A,FALSE,"Yearly MAIFI";#N/A,#N/A,FALSE,"Monthly Cust &gt;=4 Int"}</definedName>
    <definedName name="dfsasdfasdfsdfasdfasdf" localSheetId="24" hidden="1">{#N/A,#N/A,FALSE,"Monthly SAIFI";#N/A,#N/A,FALSE,"Yearly SAIFI";#N/A,#N/A,FALSE,"Monthly CAIDI";#N/A,#N/A,FALSE,"Yearly CAIDI";#N/A,#N/A,FALSE,"Monthly SAIDI";#N/A,#N/A,FALSE,"Yearly SAIDI";#N/A,#N/A,FALSE,"Monthly MAIFI";#N/A,#N/A,FALSE,"Yearly MAIFI";#N/A,#N/A,FALSE,"Monthly Cust &gt;=4 Int"}</definedName>
    <definedName name="dfsasdfasdfsdfasdfasdf" localSheetId="3"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localSheetId="24" hidden="1">{"assumptions",#N/A,FALSE,"Scenario 1";"valuation",#N/A,FALSE,"Scenario 1"}</definedName>
    <definedName name="don" localSheetId="3" hidden="1">{"assumptions",#N/A,FALSE,"Scenario 1";"valuation",#N/A,FALSE,"Scenario 1"}</definedName>
    <definedName name="don" hidden="1">{"assumptions",#N/A,FALSE,"Scenario 1";"valuation",#N/A,FALSE,"Scenario 1"}</definedName>
    <definedName name="Don_1" localSheetId="24" hidden="1">{"assumptions",#N/A,FALSE,"Scenario 1";"valuation",#N/A,FALSE,"Scenario 1"}</definedName>
    <definedName name="Don_1" localSheetId="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 localSheetId="3">#REF!</definedName>
    <definedName name="DPTSUM">#REF!</definedName>
    <definedName name="DR">'[26]C. Input'!$F$23</definedName>
    <definedName name="DR_1">#N/A</definedName>
    <definedName name="dskdlss" localSheetId="21" hidden="1">{#N/A,#N/A,FALSE,"Monthly SAIFI";#N/A,#N/A,FALSE,"Yearly SAIFI";#N/A,#N/A,FALSE,"Monthly CAIDI";#N/A,#N/A,FALSE,"Yearly CAIDI";#N/A,#N/A,FALSE,"Monthly SAIDI";#N/A,#N/A,FALSE,"Yearly SAIDI";#N/A,#N/A,FALSE,"Monthly MAIFI";#N/A,#N/A,FALSE,"Yearly MAIFI";#N/A,#N/A,FALSE,"Monthly Cust &gt;=4 Int"}</definedName>
    <definedName name="dskdlss" localSheetId="24" hidden="1">{#N/A,#N/A,FALSE,"Monthly SAIFI";#N/A,#N/A,FALSE,"Yearly SAIFI";#N/A,#N/A,FALSE,"Monthly CAIDI";#N/A,#N/A,FALSE,"Yearly CAIDI";#N/A,#N/A,FALSE,"Monthly SAIDI";#N/A,#N/A,FALSE,"Yearly SAIDI";#N/A,#N/A,FALSE,"Monthly MAIFI";#N/A,#N/A,FALSE,"Yearly MAIFI";#N/A,#N/A,FALSE,"Monthly Cust &gt;=4 Int"}</definedName>
    <definedName name="dskdlss" localSheetId="3"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 localSheetId="3">#REF!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 localSheetId="3">#REF!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 localSheetId="3">#REF!</definedName>
    <definedName name="DTE_HOLDING_CO___ELIMS">#REF!</definedName>
    <definedName name="DTech2003" localSheetId="3">#REF!</definedName>
    <definedName name="DTech2003">#REF!</definedName>
    <definedName name="DTech2004" localSheetId="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 localSheetId="3">#REF!</definedName>
    <definedName name="dyqre100">#REF!</definedName>
    <definedName name="dyqre101" localSheetId="3">#REF!</definedName>
    <definedName name="dyqre101">#REF!</definedName>
    <definedName name="dyqre102" localSheetId="3">#REF!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 localSheetId="3">#REF!</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 localSheetId="3">#REF!</definedName>
    <definedName name="ED8_BIOFLORA_Print">#REF!</definedName>
    <definedName name="Edison_Development" localSheetId="3">#REF!</definedName>
    <definedName name="Edison_Development">#REF!</definedName>
    <definedName name="Edison_Development_YR_2005" localSheetId="3">'[35]Aday IS DECo &amp; Other'!#REF!</definedName>
    <definedName name="Edison_Development_YR_2005">'[35]Aday IS DECo &amp; Other'!#REF!</definedName>
    <definedName name="Edison_Development_YR_2006" localSheetId="3">'[35]Aday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21" hidden="1">{#N/A,#N/A,FALSE,"Monthly SAIFI";#N/A,#N/A,FALSE,"Yearly SAIFI";#N/A,#N/A,FALSE,"Monthly CAIDI";#N/A,#N/A,FALSE,"Yearly CAIDI";#N/A,#N/A,FALSE,"Monthly SAIDI";#N/A,#N/A,FALSE,"Yearly SAIDI";#N/A,#N/A,FALSE,"Monthly MAIFI";#N/A,#N/A,FALSE,"Yearly MAIFI";#N/A,#N/A,FALSE,"Monthly Cust &gt;=4 Int"}</definedName>
    <definedName name="edred" localSheetId="24" hidden="1">{#N/A,#N/A,FALSE,"Monthly SAIFI";#N/A,#N/A,FALSE,"Yearly SAIFI";#N/A,#N/A,FALSE,"Monthly CAIDI";#N/A,#N/A,FALSE,"Yearly CAIDI";#N/A,#N/A,FALSE,"Monthly SAIDI";#N/A,#N/A,FALSE,"Yearly SAIDI";#N/A,#N/A,FALSE,"Monthly MAIFI";#N/A,#N/A,FALSE,"Yearly MAIFI";#N/A,#N/A,FALSE,"Monthly Cust &gt;=4 Int"}</definedName>
    <definedName name="edred" localSheetId="3"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1" hidden="1">{#N/A,#N/A,FALSE,"O&amp;M by processes";#N/A,#N/A,FALSE,"Elec Act vs Bud";#N/A,#N/A,FALSE,"G&amp;A";#N/A,#N/A,FALSE,"BGS";#N/A,#N/A,FALSE,"Res Cost"}</definedName>
    <definedName name="eeee" localSheetId="24"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 localSheetId="3">#REF!</definedName>
    <definedName name="EG_REGULATED">#REF!</definedName>
    <definedName name="EG_Regulated_Growth_YR_2003" localSheetId="3">#REF!</definedName>
    <definedName name="EG_Regulated_Growth_YR_2003">#REF!</definedName>
    <definedName name="EG_Regulated_Growth_YR_2004" localSheetId="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 localSheetId="3">#REF!</definedName>
    <definedName name="END">#REF!</definedName>
    <definedName name="end_coal">'[37]Input Page'!#REF!</definedName>
    <definedName name="end_CWIP">'[37]Input Page'!#REF!</definedName>
    <definedName name="ENERGY" localSheetId="3">#REF!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 localSheetId="3">#REF!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 localSheetId="3">#REF!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 localSheetId="3">#REF!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 localSheetId="3">#REF!</definedName>
    <definedName name="Energy_Resources__DEENE__Total">#REF!</definedName>
    <definedName name="Energy_Services" localSheetId="3">#REF!</definedName>
    <definedName name="Energy_Services">#REF!</definedName>
    <definedName name="Energy_Services_Growth_YR_2003" localSheetId="3">#REF!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 localSheetId="3">#REF!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 localSheetId="3">#REF!</definedName>
    <definedName name="ENVIRONMENTAL">#REF!</definedName>
    <definedName name="EPRI">'[26]C. Input'!$F$203</definedName>
    <definedName name="Equity__Earnings__Losses_of_Consol_Subs" localSheetId="3">#REF!</definedName>
    <definedName name="Equity__Earnings__Losses_of_Consol_Subs">#REF!</definedName>
    <definedName name="Equity__Earnings__Losses_of_Unconsol_Subs" localSheetId="3">#REF!</definedName>
    <definedName name="Equity__Earnings__Losses_of_Unconsol_Subs">#REF!</definedName>
    <definedName name="Equity_Earnings_CPM" localSheetId="3">#REF!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 localSheetId="3">#REF!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 localSheetId="3">#REF!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 localSheetId="3">#REF!</definedName>
    <definedName name="ERROR">#REF!</definedName>
    <definedName name="ESPYMT" localSheetId="3">#REF!</definedName>
    <definedName name="ESPYMT">#REF!</definedName>
    <definedName name="EssOptions">"1100000000130100_11-          00"</definedName>
    <definedName name="EST_2005">#REF!</definedName>
    <definedName name="EST_BY_ACCT">#REF!</definedName>
    <definedName name="ETR">#REF!</definedName>
    <definedName name="EV__LASTREFTIME__" localSheetId="21" hidden="1">39826.8319444444</definedName>
    <definedName name="EV__LASTREFTIME__" localSheetId="15" hidden="1">39826.8319444444</definedName>
    <definedName name="EV__LASTREFTIME__" localSheetId="14" hidden="1">39826.8319444444</definedName>
    <definedName name="EV__LASTREFTIME__" localSheetId="19" hidden="1">39826.8319444444</definedName>
    <definedName name="EV__LASTREFTIME__" localSheetId="20" hidden="1">39826.8319444444</definedName>
    <definedName name="EV__LASTREFTIME__">39773.6430324074</definedName>
    <definedName name="exclude_cap">'[37]Input Page'!#REF!</definedName>
    <definedName name="Expl___Prod_Growth_YR_2003" localSheetId="3">#REF!</definedName>
    <definedName name="Expl___Prod_Growth_YR_2003">#REF!</definedName>
    <definedName name="Expl___Prod_Growth_YR_2004" localSheetId="3">#REF!</definedName>
    <definedName name="Expl___Prod_Growth_YR_2004">#REF!</definedName>
    <definedName name="Expl___Prod_Growth_YR_2005" localSheetId="3">#REF!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1" hidden="1">{#N/A,#N/A,FALSE,"Monthly SAIFI";#N/A,#N/A,FALSE,"Yearly SAIFI";#N/A,#N/A,FALSE,"Monthly CAIDI";#N/A,#N/A,FALSE,"Yearly CAIDI";#N/A,#N/A,FALSE,"Monthly SAIDI";#N/A,#N/A,FALSE,"Yearly SAIDI";#N/A,#N/A,FALSE,"Monthly MAIFI";#N/A,#N/A,FALSE,"Yearly MAIFI";#N/A,#N/A,FALSE,"Monthly Cust &gt;=4 Int"}</definedName>
    <definedName name="f" localSheetId="24" hidden="1">{#N/A,#N/A,FALSE,"Monthly SAIFI";#N/A,#N/A,FALSE,"Yearly SAIFI";#N/A,#N/A,FALSE,"Monthly CAIDI";#N/A,#N/A,FALSE,"Yearly CAIDI";#N/A,#N/A,FALSE,"Monthly SAIDI";#N/A,#N/A,FALSE,"Yearly SAIDI";#N/A,#N/A,FALSE,"Monthly MAIFI";#N/A,#N/A,FALSE,"Yearly MAIFI";#N/A,#N/A,FALSE,"Monthly Cust &gt;=4 Int"}</definedName>
    <definedName name="f" localSheetId="3"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 localSheetId="3">#REF!</definedName>
    <definedName name="FACTORS">#REF!</definedName>
    <definedName name="FACTRS" localSheetId="3">#REF!</definedName>
    <definedName name="FACTRS">#REF!</definedName>
    <definedName name="FAS109YTD" localSheetId="3">[23]December!#REF!</definedName>
    <definedName name="FAS109YTD">[23]December!#REF!</definedName>
    <definedName name="FB_CUSTOMERS" localSheetId="3">#REF!</definedName>
    <definedName name="FB_CUSTOMERS">#REF!</definedName>
    <definedName name="FB_LINES" localSheetId="3">#REF!</definedName>
    <definedName name="FB_LINES">#REF!</definedName>
    <definedName name="fbp100d" localSheetId="3">#REF!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1" hidden="1">{#N/A,#N/A,FALSE,"Monthly SAIFI";#N/A,#N/A,FALSE,"Yearly SAIFI";#N/A,#N/A,FALSE,"Monthly CAIDI";#N/A,#N/A,FALSE,"Yearly CAIDI";#N/A,#N/A,FALSE,"Monthly SAIDI";#N/A,#N/A,FALSE,"Yearly SAIDI";#N/A,#N/A,FALSE,"Monthly MAIFI";#N/A,#N/A,FALSE,"Yearly MAIFI";#N/A,#N/A,FALSE,"Monthly Cust &gt;=4 Int"}</definedName>
    <definedName name="FDSDFSF" localSheetId="24" hidden="1">{#N/A,#N/A,FALSE,"Monthly SAIFI";#N/A,#N/A,FALSE,"Yearly SAIFI";#N/A,#N/A,FALSE,"Monthly CAIDI";#N/A,#N/A,FALSE,"Yearly CAIDI";#N/A,#N/A,FALSE,"Monthly SAIDI";#N/A,#N/A,FALSE,"Yearly SAIDI";#N/A,#N/A,FALSE,"Monthly MAIFI";#N/A,#N/A,FALSE,"Yearly MAIFI";#N/A,#N/A,FALSE,"Monthly Cust &gt;=4 Int"}</definedName>
    <definedName name="FDSDFSF" localSheetId="3"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21" hidden="1">{#N/A,#N/A,FALSE,"ARREC"}</definedName>
    <definedName name="FEB00" localSheetId="24" hidden="1">{#N/A,#N/A,FALSE,"ARREC"}</definedName>
    <definedName name="FEB00" localSheetId="3" hidden="1">{#N/A,#N/A,FALSE,"ARREC"}</definedName>
    <definedName name="FEB00" localSheetId="15" hidden="1">{#N/A,#N/A,FALSE,"ARREC"}</definedName>
    <definedName name="FEB00" localSheetId="16" hidden="1">{#N/A,#N/A,FALSE,"ARREC"}</definedName>
    <definedName name="FEB00" localSheetId="14"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1" hidden="1">{#N/A,#N/A,FALSE,"Monthly SAIFI";#N/A,#N/A,FALSE,"Yearly SAIFI";#N/A,#N/A,FALSE,"Monthly CAIDI";#N/A,#N/A,FALSE,"Yearly CAIDI";#N/A,#N/A,FALSE,"Monthly SAIDI";#N/A,#N/A,FALSE,"Yearly SAIDI";#N/A,#N/A,FALSE,"Monthly MAIFI";#N/A,#N/A,FALSE,"Yearly MAIFI";#N/A,#N/A,FALSE,"Monthly Cust &gt;=4 Int"}</definedName>
    <definedName name="ff" localSheetId="24" hidden="1">{#N/A,#N/A,FALSE,"Monthly SAIFI";#N/A,#N/A,FALSE,"Yearly SAIFI";#N/A,#N/A,FALSE,"Monthly CAIDI";#N/A,#N/A,FALSE,"Yearly CAIDI";#N/A,#N/A,FALSE,"Monthly SAIDI";#N/A,#N/A,FALSE,"Yearly SAIDI";#N/A,#N/A,FALSE,"Monthly MAIFI";#N/A,#N/A,FALSE,"Yearly MAIFI";#N/A,#N/A,FALSE,"Monthly Cust &gt;=4 Int"}</definedName>
    <definedName name="ff" localSheetId="3"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1" hidden="1">{#N/A,#N/A,FALSE,"Monthly SAIFI";#N/A,#N/A,FALSE,"Yearly SAIFI";#N/A,#N/A,FALSE,"Monthly CAIDI";#N/A,#N/A,FALSE,"Yearly CAIDI";#N/A,#N/A,FALSE,"Monthly SAIDI";#N/A,#N/A,FALSE,"Yearly SAIDI";#N/A,#N/A,FALSE,"Monthly MAIFI";#N/A,#N/A,FALSE,"Yearly MAIFI";#N/A,#N/A,FALSE,"Monthly Cust &gt;=4 Int"}</definedName>
    <definedName name="fff" localSheetId="24" hidden="1">{#N/A,#N/A,FALSE,"Monthly SAIFI";#N/A,#N/A,FALSE,"Yearly SAIFI";#N/A,#N/A,FALSE,"Monthly CAIDI";#N/A,#N/A,FALSE,"Yearly CAIDI";#N/A,#N/A,FALSE,"Monthly SAIDI";#N/A,#N/A,FALSE,"Yearly SAIDI";#N/A,#N/A,FALSE,"Monthly MAIFI";#N/A,#N/A,FALSE,"Yearly MAIFI";#N/A,#N/A,FALSE,"Monthly Cust &gt;=4 Int"}</definedName>
    <definedName name="fff" localSheetId="3"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1" hidden="1">{#N/A,#N/A,FALSE,"Monthly SAIFI";#N/A,#N/A,FALSE,"Yearly SAIFI";#N/A,#N/A,FALSE,"Monthly CAIDI";#N/A,#N/A,FALSE,"Yearly CAIDI";#N/A,#N/A,FALSE,"Monthly SAIDI";#N/A,#N/A,FALSE,"Yearly SAIDI";#N/A,#N/A,FALSE,"Monthly MAIFI";#N/A,#N/A,FALSE,"Yearly MAIFI";#N/A,#N/A,FALSE,"Monthly Cust &gt;=4 Int"}</definedName>
    <definedName name="fghjghjfgjf" localSheetId="24" hidden="1">{#N/A,#N/A,FALSE,"Monthly SAIFI";#N/A,#N/A,FALSE,"Yearly SAIFI";#N/A,#N/A,FALSE,"Monthly CAIDI";#N/A,#N/A,FALSE,"Yearly CAIDI";#N/A,#N/A,FALSE,"Monthly SAIDI";#N/A,#N/A,FALSE,"Yearly SAIDI";#N/A,#N/A,FALSE,"Monthly MAIFI";#N/A,#N/A,FALSE,"Yearly MAIFI";#N/A,#N/A,FALSE,"Monthly Cust &gt;=4 Int"}</definedName>
    <definedName name="fghjghjfgjf" localSheetId="3"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 localSheetId="3">#REF!</definedName>
    <definedName name="FIN">#REF!</definedName>
    <definedName name="Final_Consolidation" localSheetId="3">#REF!</definedName>
    <definedName name="Final_Consolidation">#REF!</definedName>
    <definedName name="Financing_Sources__Uses__CPM" localSheetId="3">#REF!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 localSheetId="3">#REF!</definedName>
    <definedName name="FORM">#REF!</definedName>
    <definedName name="Format" localSheetId="3">#REF!</definedName>
    <definedName name="Format">#REF!</definedName>
    <definedName name="Forms" localSheetId="3">#REF!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21" hidden="1">{#N/A,#N/A,FALSE,"Monthly SAIFI";#N/A,#N/A,FALSE,"Yearly SAIFI";#N/A,#N/A,FALSE,"Monthly CAIDI";#N/A,#N/A,FALSE,"Yearly CAIDI";#N/A,#N/A,FALSE,"Monthly SAIDI";#N/A,#N/A,FALSE,"Yearly SAIDI";#N/A,#N/A,FALSE,"Monthly MAIFI";#N/A,#N/A,FALSE,"Yearly MAIFI";#N/A,#N/A,FALSE,"Monthly Cust &gt;=4 Int"}</definedName>
    <definedName name="fsdafasf" localSheetId="24" hidden="1">{#N/A,#N/A,FALSE,"Monthly SAIFI";#N/A,#N/A,FALSE,"Yearly SAIFI";#N/A,#N/A,FALSE,"Monthly CAIDI";#N/A,#N/A,FALSE,"Yearly CAIDI";#N/A,#N/A,FALSE,"Monthly SAIDI";#N/A,#N/A,FALSE,"Yearly SAIDI";#N/A,#N/A,FALSE,"Monthly MAIFI";#N/A,#N/A,FALSE,"Yearly MAIFI";#N/A,#N/A,FALSE,"Monthly Cust &gt;=4 Int"}</definedName>
    <definedName name="fsdafasf" localSheetId="3"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1" hidden="1">{#N/A,#N/A,FALSE,"Monthly SAIFI";#N/A,#N/A,FALSE,"Yearly SAIFI";#N/A,#N/A,FALSE,"Monthly CAIDI";#N/A,#N/A,FALSE,"Yearly CAIDI";#N/A,#N/A,FALSE,"Monthly SAIDI";#N/A,#N/A,FALSE,"Yearly SAIDI";#N/A,#N/A,FALSE,"Monthly MAIFI";#N/A,#N/A,FALSE,"Yearly MAIFI";#N/A,#N/A,FALSE,"Monthly Cust &gt;=4 Int"}</definedName>
    <definedName name="fsdfsfs" localSheetId="24" hidden="1">{#N/A,#N/A,FALSE,"Monthly SAIFI";#N/A,#N/A,FALSE,"Yearly SAIFI";#N/A,#N/A,FALSE,"Monthly CAIDI";#N/A,#N/A,FALSE,"Yearly CAIDI";#N/A,#N/A,FALSE,"Monthly SAIDI";#N/A,#N/A,FALSE,"Yearly SAIDI";#N/A,#N/A,FALSE,"Monthly MAIFI";#N/A,#N/A,FALSE,"Yearly MAIFI";#N/A,#N/A,FALSE,"Monthly Cust &gt;=4 Int"}</definedName>
    <definedName name="fsdfsfs" localSheetId="3"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1" hidden="1">{#N/A,#N/A,FALSE,"Monthly SAIFI";#N/A,#N/A,FALSE,"Yearly SAIFI";#N/A,#N/A,FALSE,"Monthly CAIDI";#N/A,#N/A,FALSE,"Yearly CAIDI";#N/A,#N/A,FALSE,"Monthly SAIDI";#N/A,#N/A,FALSE,"Yearly SAIDI";#N/A,#N/A,FALSE,"Monthly MAIFI";#N/A,#N/A,FALSE,"Yearly MAIFI";#N/A,#N/A,FALSE,"Monthly Cust &gt;=4 Int"}</definedName>
    <definedName name="fsdfsfsdfasfa" localSheetId="24" hidden="1">{#N/A,#N/A,FALSE,"Monthly SAIFI";#N/A,#N/A,FALSE,"Yearly SAIFI";#N/A,#N/A,FALSE,"Monthly CAIDI";#N/A,#N/A,FALSE,"Yearly CAIDI";#N/A,#N/A,FALSE,"Monthly SAIDI";#N/A,#N/A,FALSE,"Yearly SAIDI";#N/A,#N/A,FALSE,"Monthly MAIFI";#N/A,#N/A,FALSE,"Yearly MAIFI";#N/A,#N/A,FALSE,"Monthly Cust &gt;=4 Int"}</definedName>
    <definedName name="fsdfsfsdfasfa" localSheetId="3"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1" hidden="1">{#N/A,#N/A,FALSE,"Monthly SAIFI";#N/A,#N/A,FALSE,"Yearly SAIFI";#N/A,#N/A,FALSE,"Monthly CAIDI";#N/A,#N/A,FALSE,"Yearly CAIDI";#N/A,#N/A,FALSE,"Monthly SAIDI";#N/A,#N/A,FALSE,"Yearly SAIDI";#N/A,#N/A,FALSE,"Monthly MAIFI";#N/A,#N/A,FALSE,"Yearly MAIFI";#N/A,#N/A,FALSE,"Monthly Cust &gt;=4 Int"}</definedName>
    <definedName name="fsfsfsafasf" localSheetId="24" hidden="1">{#N/A,#N/A,FALSE,"Monthly SAIFI";#N/A,#N/A,FALSE,"Yearly SAIFI";#N/A,#N/A,FALSE,"Monthly CAIDI";#N/A,#N/A,FALSE,"Yearly CAIDI";#N/A,#N/A,FALSE,"Monthly SAIDI";#N/A,#N/A,FALSE,"Yearly SAIDI";#N/A,#N/A,FALSE,"Monthly MAIFI";#N/A,#N/A,FALSE,"Yearly MAIFI";#N/A,#N/A,FALSE,"Monthly Cust &gt;=4 Int"}</definedName>
    <definedName name="fsfsfsafasf" localSheetId="3"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 localSheetId="3">#REF!</definedName>
    <definedName name="fullyrcredit100">#REF!</definedName>
    <definedName name="fullyrcredit101" localSheetId="3">#REF!</definedName>
    <definedName name="fullyrcredit101">#REF!</definedName>
    <definedName name="fullyrcredit102" localSheetId="3">#REF!</definedName>
    <definedName name="fullyrcredit102">#REF!</definedName>
    <definedName name="fullyrcredit103">#REF!</definedName>
    <definedName name="fullyrcredit99">#REF!</definedName>
    <definedName name="fwrwerwerwerwer" localSheetId="21" hidden="1">{#N/A,#N/A,FALSE,"Monthly SAIFI";#N/A,#N/A,FALSE,"Yearly SAIFI";#N/A,#N/A,FALSE,"Monthly CAIDI";#N/A,#N/A,FALSE,"Yearly CAIDI";#N/A,#N/A,FALSE,"Monthly SAIDI";#N/A,#N/A,FALSE,"Yearly SAIDI";#N/A,#N/A,FALSE,"Monthly MAIFI";#N/A,#N/A,FALSE,"Yearly MAIFI";#N/A,#N/A,FALSE,"Monthly Cust &gt;=4 Int"}</definedName>
    <definedName name="fwrwerwerwerwer" localSheetId="24" hidden="1">{#N/A,#N/A,FALSE,"Monthly SAIFI";#N/A,#N/A,FALSE,"Yearly SAIFI";#N/A,#N/A,FALSE,"Monthly CAIDI";#N/A,#N/A,FALSE,"Yearly CAIDI";#N/A,#N/A,FALSE,"Monthly SAIDI";#N/A,#N/A,FALSE,"Yearly SAIDI";#N/A,#N/A,FALSE,"Monthly MAIFI";#N/A,#N/A,FALSE,"Yearly MAIFI";#N/A,#N/A,FALSE,"Monthly Cust &gt;=4 Int"}</definedName>
    <definedName name="fwrwerwerwerwer" localSheetId="3"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 localSheetId="3">#REF!</definedName>
    <definedName name="FYY">#REF!</definedName>
    <definedName name="FYYYY" localSheetId="3">#REF!</definedName>
    <definedName name="FYYYY">#REF!</definedName>
    <definedName name="Gain__Loss_on_Sale_of_Joint_Ventures" localSheetId="3">#REF!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 localSheetId="3">#REF!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 localSheetId="3">#REF!</definedName>
    <definedName name="Gas_Purchases___Affiliate">#REF!</definedName>
    <definedName name="Gas_Purchases___External" localSheetId="3">#REF!</definedName>
    <definedName name="Gas_Purchases___External">#REF!</definedName>
    <definedName name="Gas_Resources_Growth_YR_2003" localSheetId="3">#REF!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 localSheetId="3">#REF!</definedName>
    <definedName name="GENERAL_HELP">#REF!</definedName>
    <definedName name="General_Taxes" localSheetId="3">#REF!</definedName>
    <definedName name="General_Taxes">#REF!</definedName>
    <definedName name="General_Taxes_Payable" localSheetId="3">#REF!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21" hidden="1">{#N/A,#N/A,FALSE,"Monthly SAIFI";#N/A,#N/A,FALSE,"Yearly SAIFI";#N/A,#N/A,FALSE,"Monthly CAIDI";#N/A,#N/A,FALSE,"Yearly CAIDI";#N/A,#N/A,FALSE,"Monthly SAIDI";#N/A,#N/A,FALSE,"Yearly SAIDI";#N/A,#N/A,FALSE,"Monthly MAIFI";#N/A,#N/A,FALSE,"Yearly MAIFI";#N/A,#N/A,FALSE,"Monthly Cust &gt;=4 Int"}</definedName>
    <definedName name="ghjgfj" localSheetId="24" hidden="1">{#N/A,#N/A,FALSE,"Monthly SAIFI";#N/A,#N/A,FALSE,"Yearly SAIFI";#N/A,#N/A,FALSE,"Monthly CAIDI";#N/A,#N/A,FALSE,"Yearly CAIDI";#N/A,#N/A,FALSE,"Monthly SAIDI";#N/A,#N/A,FALSE,"Yearly SAIDI";#N/A,#N/A,FALSE,"Monthly MAIFI";#N/A,#N/A,FALSE,"Yearly MAIFI";#N/A,#N/A,FALSE,"Monthly Cust &gt;=4 Int"}</definedName>
    <definedName name="ghjgfj" localSheetId="3"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1" hidden="1">{#N/A,#N/A,FALSE,"Monthly SAIFI";#N/A,#N/A,FALSE,"Yearly SAIFI";#N/A,#N/A,FALSE,"Monthly CAIDI";#N/A,#N/A,FALSE,"Yearly CAIDI";#N/A,#N/A,FALSE,"Monthly SAIDI";#N/A,#N/A,FALSE,"Yearly SAIDI";#N/A,#N/A,FALSE,"Monthly MAIFI";#N/A,#N/A,FALSE,"Yearly MAIFI";#N/A,#N/A,FALSE,"Monthly Cust &gt;=4 Int"}</definedName>
    <definedName name="ghjgfjfj" localSheetId="24" hidden="1">{#N/A,#N/A,FALSE,"Monthly SAIFI";#N/A,#N/A,FALSE,"Yearly SAIFI";#N/A,#N/A,FALSE,"Monthly CAIDI";#N/A,#N/A,FALSE,"Yearly CAIDI";#N/A,#N/A,FALSE,"Monthly SAIDI";#N/A,#N/A,FALSE,"Yearly SAIDI";#N/A,#N/A,FALSE,"Monthly MAIFI";#N/A,#N/A,FALSE,"Yearly MAIFI";#N/A,#N/A,FALSE,"Monthly Cust &gt;=4 Int"}</definedName>
    <definedName name="ghjgfjfj" localSheetId="3"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1" hidden="1">{#N/A,#N/A,FALSE,"Monthly SAIFI";#N/A,#N/A,FALSE,"Yearly SAIFI";#N/A,#N/A,FALSE,"Monthly CAIDI";#N/A,#N/A,FALSE,"Yearly CAIDI";#N/A,#N/A,FALSE,"Monthly SAIDI";#N/A,#N/A,FALSE,"Yearly SAIDI";#N/A,#N/A,FALSE,"Monthly MAIFI";#N/A,#N/A,FALSE,"Yearly MAIFI";#N/A,#N/A,FALSE,"Monthly Cust &gt;=4 Int"}</definedName>
    <definedName name="ghjgfjg" localSheetId="24" hidden="1">{#N/A,#N/A,FALSE,"Monthly SAIFI";#N/A,#N/A,FALSE,"Yearly SAIFI";#N/A,#N/A,FALSE,"Monthly CAIDI";#N/A,#N/A,FALSE,"Yearly CAIDI";#N/A,#N/A,FALSE,"Monthly SAIDI";#N/A,#N/A,FALSE,"Yearly SAIDI";#N/A,#N/A,FALSE,"Monthly MAIFI";#N/A,#N/A,FALSE,"Yearly MAIFI";#N/A,#N/A,FALSE,"Monthly Cust &gt;=4 Int"}</definedName>
    <definedName name="ghjgfjg" localSheetId="3"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1" hidden="1">{#N/A,#N/A,FALSE,"Monthly SAIFI";#N/A,#N/A,FALSE,"Yearly SAIFI";#N/A,#N/A,FALSE,"Monthly CAIDI";#N/A,#N/A,FALSE,"Yearly CAIDI";#N/A,#N/A,FALSE,"Monthly SAIDI";#N/A,#N/A,FALSE,"Yearly SAIDI";#N/A,#N/A,FALSE,"Monthly MAIFI";#N/A,#N/A,FALSE,"Yearly MAIFI";#N/A,#N/A,FALSE,"Monthly Cust &gt;=4 Int"}</definedName>
    <definedName name="ghjgjgfjf" localSheetId="24" hidden="1">{#N/A,#N/A,FALSE,"Monthly SAIFI";#N/A,#N/A,FALSE,"Yearly SAIFI";#N/A,#N/A,FALSE,"Monthly CAIDI";#N/A,#N/A,FALSE,"Yearly CAIDI";#N/A,#N/A,FALSE,"Monthly SAIDI";#N/A,#N/A,FALSE,"Yearly SAIDI";#N/A,#N/A,FALSE,"Monthly MAIFI";#N/A,#N/A,FALSE,"Yearly MAIFI";#N/A,#N/A,FALSE,"Monthly Cust &gt;=4 Int"}</definedName>
    <definedName name="ghjgjgfjf" localSheetId="3"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24" hidden="1">ISBLANK(gIsRef)</definedName>
    <definedName name="gIsBlank" localSheetId="3" hidden="1">ISBLANK(gIsRef)</definedName>
    <definedName name="gIsBlank" hidden="1">ISBLANK(gIsRef)</definedName>
    <definedName name="gIsError" localSheetId="24" hidden="1">ISERROR(gIsRef)</definedName>
    <definedName name="gIsError" localSheetId="3" hidden="1">ISERROR(gIsRef)</definedName>
    <definedName name="gIsError" hidden="1">ISERROR(gIsRef)</definedName>
    <definedName name="gIsInPrintArea" localSheetId="24" hidden="1">NOT(ISERROR(gIsRef !Print_Area))</definedName>
    <definedName name="gIsInPrintArea" localSheetId="3" hidden="1">NOT(ISERROR(gIsRef !Print_Area))</definedName>
    <definedName name="gIsInPrintArea" hidden="1">NOT(ISERROR(gIsRef !Print_Area))</definedName>
    <definedName name="gIsInPrintTitles" localSheetId="24" hidden="1">NOT(ISERROR(gIsRef !Print_Titles))</definedName>
    <definedName name="gIsInPrintTitles" localSheetId="3" hidden="1">NOT(ISERROR(gIsRef !Print_Titles))</definedName>
    <definedName name="gIsInPrintTitles" hidden="1">NOT(ISERROR(gIsRef !Print_Titles))</definedName>
    <definedName name="gIsNumber" localSheetId="24" hidden="1">ISNUMBER(gIsRef)</definedName>
    <definedName name="gIsNumber" localSheetId="3" hidden="1">ISNUMBER(gIsRef)</definedName>
    <definedName name="gIsNumber" hidden="1">ISNUMBER(gIsRef)</definedName>
    <definedName name="gIsPreviousSheet" localSheetId="24" hidden="1">PrevShtCellValue(gIsRef)&lt;&gt;gIsRef</definedName>
    <definedName name="gIsPreviousSheet" localSheetId="3" hidden="1">PrevShtCellValue(gIsRef)&lt;&gt;gIsRef</definedName>
    <definedName name="gIsPreviousSheet" hidden="1">PrevShtCellValue(gIsRef)&lt;&gt;gIsRef</definedName>
    <definedName name="gIsRef" hidden="1">INDIRECT("rc",FALSE)</definedName>
    <definedName name="gIsText" localSheetId="24" hidden="1">ISTEXT(gIsRef)</definedName>
    <definedName name="gIsText" localSheetId="3" hidden="1">ISTEXT(gIsRef)</definedName>
    <definedName name="gIsText" hidden="1">ISTEXT(gIsRef)</definedName>
    <definedName name="gita" localSheetId="21" hidden="1">{#N/A,#N/A,FALSE,"O&amp;M by processes";#N/A,#N/A,FALSE,"Elec Act vs Bud";#N/A,#N/A,FALSE,"G&amp;A";#N/A,#N/A,FALSE,"BGS";#N/A,#N/A,FALSE,"Res Cost"}</definedName>
    <definedName name="gita" localSheetId="24"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24"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 localSheetId="3">#REF!</definedName>
    <definedName name="GPURS">#REF!</definedName>
    <definedName name="GR" localSheetId="3">#REF!</definedName>
    <definedName name="GR">#REF!</definedName>
    <definedName name="GR_PRT_RANGE">[10]Gross_Rec!$A$8:$R$52</definedName>
    <definedName name="GRAND_TOTAL_CAPITAL_INVESTMENTS" localSheetId="3">#REF!</definedName>
    <definedName name="GRAND_TOTAL_CAPITAL_INVESTMENTS">#REF!</definedName>
    <definedName name="GRAPH_SELECT" localSheetId="3">#REF!</definedName>
    <definedName name="GRAPH_SELECT">#REF!</definedName>
    <definedName name="GRAPH_TABLE" localSheetId="3">#REF!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 localSheetId="3">#REF!</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 localSheetId="3">#REF!</definedName>
    <definedName name="GRT">#REF!</definedName>
    <definedName name="grtm1">[10]Print!$I$32</definedName>
    <definedName name="grtm2">[10]Print!$G$32</definedName>
    <definedName name="grtm3">[10]Print!$E$32</definedName>
    <definedName name="grtm4">[10]Print!$C$32</definedName>
    <definedName name="GTDAMERICAS" localSheetId="3">#REF!</definedName>
    <definedName name="GTDAMERICAS">#REF!</definedName>
    <definedName name="GTDCROP" localSheetId="3">#REF!</definedName>
    <definedName name="GTDCROP">#REF!</definedName>
    <definedName name="GTDFINANCE" localSheetId="3">#REF!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1" hidden="1">{#N/A,#N/A,FALSE,"Monthly SAIFI";#N/A,#N/A,FALSE,"Yearly SAIFI";#N/A,#N/A,FALSE,"Monthly CAIDI";#N/A,#N/A,FALSE,"Yearly CAIDI";#N/A,#N/A,FALSE,"Monthly SAIDI";#N/A,#N/A,FALSE,"Yearly SAIDI";#N/A,#N/A,FALSE,"Monthly MAIFI";#N/A,#N/A,FALSE,"Yearly MAIFI";#N/A,#N/A,FALSE,"Monthly Cust &gt;=4 Int"}</definedName>
    <definedName name="h" localSheetId="24" hidden="1">{#N/A,#N/A,FALSE,"Monthly SAIFI";#N/A,#N/A,FALSE,"Yearly SAIFI";#N/A,#N/A,FALSE,"Monthly CAIDI";#N/A,#N/A,FALSE,"Yearly CAIDI";#N/A,#N/A,FALSE,"Monthly SAIDI";#N/A,#N/A,FALSE,"Yearly SAIDI";#N/A,#N/A,FALSE,"Monthly MAIFI";#N/A,#N/A,FALSE,"Yearly MAIFI";#N/A,#N/A,FALSE,"Monthly Cust &gt;=4 Int"}</definedName>
    <definedName name="h" localSheetId="3"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1" hidden="1">{#N/A,#N/A,FALSE,"Monthly SAIFI";#N/A,#N/A,FALSE,"Yearly SAIFI";#N/A,#N/A,FALSE,"Monthly CAIDI";#N/A,#N/A,FALSE,"Yearly CAIDI";#N/A,#N/A,FALSE,"Monthly SAIDI";#N/A,#N/A,FALSE,"Yearly SAIDI";#N/A,#N/A,FALSE,"Monthly MAIFI";#N/A,#N/A,FALSE,"Yearly MAIFI";#N/A,#N/A,FALSE,"Monthly Cust &gt;=4 Int"}</definedName>
    <definedName name="hh" localSheetId="24" hidden="1">{#N/A,#N/A,FALSE,"Monthly SAIFI";#N/A,#N/A,FALSE,"Yearly SAIFI";#N/A,#N/A,FALSE,"Monthly CAIDI";#N/A,#N/A,FALSE,"Yearly CAIDI";#N/A,#N/A,FALSE,"Monthly SAIDI";#N/A,#N/A,FALSE,"Yearly SAIDI";#N/A,#N/A,FALSE,"Monthly MAIFI";#N/A,#N/A,FALSE,"Yearly MAIFI";#N/A,#N/A,FALSE,"Monthly Cust &gt;=4 Int"}</definedName>
    <definedName name="hh" localSheetId="3"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 localSheetId="3">#REF!</definedName>
    <definedName name="historiccents">#REF!</definedName>
    <definedName name="hjfjghjgfjgj" localSheetId="21" hidden="1">{#N/A,#N/A,FALSE,"Monthly SAIFI";#N/A,#N/A,FALSE,"Yearly SAIFI";#N/A,#N/A,FALSE,"Monthly CAIDI";#N/A,#N/A,FALSE,"Yearly CAIDI";#N/A,#N/A,FALSE,"Monthly SAIDI";#N/A,#N/A,FALSE,"Yearly SAIDI";#N/A,#N/A,FALSE,"Monthly MAIFI";#N/A,#N/A,FALSE,"Yearly MAIFI";#N/A,#N/A,FALSE,"Monthly Cust &gt;=4 Int"}</definedName>
    <definedName name="hjfjghjgfjgj" localSheetId="24" hidden="1">{#N/A,#N/A,FALSE,"Monthly SAIFI";#N/A,#N/A,FALSE,"Yearly SAIFI";#N/A,#N/A,FALSE,"Monthly CAIDI";#N/A,#N/A,FALSE,"Yearly CAIDI";#N/A,#N/A,FALSE,"Monthly SAIDI";#N/A,#N/A,FALSE,"Yearly SAIDI";#N/A,#N/A,FALSE,"Monthly MAIFI";#N/A,#N/A,FALSE,"Yearly MAIFI";#N/A,#N/A,FALSE,"Monthly Cust &gt;=4 Int"}</definedName>
    <definedName name="hjfjghjgfjgj" localSheetId="3"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1" hidden="1">{#N/A,#N/A,FALSE,"Monthly SAIFI";#N/A,#N/A,FALSE,"Yearly SAIFI";#N/A,#N/A,FALSE,"Monthly CAIDI";#N/A,#N/A,FALSE,"Yearly CAIDI";#N/A,#N/A,FALSE,"Monthly SAIDI";#N/A,#N/A,FALSE,"Yearly SAIDI";#N/A,#N/A,FALSE,"Monthly MAIFI";#N/A,#N/A,FALSE,"Yearly MAIFI";#N/A,#N/A,FALSE,"Monthly Cust &gt;=4 Int"}</definedName>
    <definedName name="hjghjgf" localSheetId="24" hidden="1">{#N/A,#N/A,FALSE,"Monthly SAIFI";#N/A,#N/A,FALSE,"Yearly SAIFI";#N/A,#N/A,FALSE,"Monthly CAIDI";#N/A,#N/A,FALSE,"Yearly CAIDI";#N/A,#N/A,FALSE,"Monthly SAIDI";#N/A,#N/A,FALSE,"Yearly SAIDI";#N/A,#N/A,FALSE,"Monthly MAIFI";#N/A,#N/A,FALSE,"Yearly MAIFI";#N/A,#N/A,FALSE,"Monthly Cust &gt;=4 Int"}</definedName>
    <definedName name="hjghjgf" localSheetId="3"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 localSheetId="3">#REF!</definedName>
    <definedName name="HOURS">#REF!</definedName>
    <definedName name="howToChange" localSheetId="3">#REF!</definedName>
    <definedName name="howToChange">#REF!</definedName>
    <definedName name="howToCheck" localSheetId="3">#REF!</definedName>
    <definedName name="howToCheck">#REF!</definedName>
    <definedName name="HPNTSR">'[26]A.2 PTP'!$P$332</definedName>
    <definedName name="HTML_CodePage">1252</definedName>
    <definedName name="HTML_Control" localSheetId="24">{"'Metretek HTML'!$A$7:$W$42"}</definedName>
    <definedName name="HTML_Control" localSheetId="3">{"'Metretek HTML'!$A$7:$W$42"}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 localSheetId="3">#REF!</definedName>
    <definedName name="Income_Taxes">#REF!</definedName>
    <definedName name="Income_Taxes_CPM" localSheetId="3">#REF!</definedName>
    <definedName name="Income_Taxes_CPM">#REF!</definedName>
    <definedName name="Income_Taxes_Federal" localSheetId="3">#REF!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 localSheetId="3">#REF!</definedName>
    <definedName name="INSERTRANGE">#REF!</definedName>
    <definedName name="int_rate" localSheetId="3">#REF!</definedName>
    <definedName name="int_rate">#REF!</definedName>
    <definedName name="intang_afudc910">[67]criteria!$A$5:$B$6</definedName>
    <definedName name="INTCUT" localSheetId="3">#REF!</definedName>
    <definedName name="INTCUT">#REF!</definedName>
    <definedName name="intedp2data" localSheetId="3">#REF!</definedName>
    <definedName name="intedp2data">#REF!</definedName>
    <definedName name="Intercompany_Loan" localSheetId="3">#REF!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 localSheetId="3">#REF!</definedName>
    <definedName name="Inv_JE">#REF!</definedName>
    <definedName name="Inv_wp" localSheetId="3">#REF!</definedName>
    <definedName name="Inv_wp">#REF!</definedName>
    <definedName name="Inventories" localSheetId="3">#REF!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 localSheetId="3">#REF!</definedName>
    <definedName name="JAN">#REF!</definedName>
    <definedName name="JanCP" localSheetId="3">#REF!</definedName>
    <definedName name="JanCP">#REF!</definedName>
    <definedName name="JE" localSheetId="3">#REF!</definedName>
    <definedName name="JE">#REF!</definedName>
    <definedName name="JE33WP">#REF!</definedName>
    <definedName name="jeff" localSheetId="21" hidden="1">{#N/A,#N/A,FALSE,"Monthly SAIFI";#N/A,#N/A,FALSE,"Yearly SAIFI";#N/A,#N/A,FALSE,"Monthly CAIDI";#N/A,#N/A,FALSE,"Yearly CAIDI";#N/A,#N/A,FALSE,"Monthly SAIDI";#N/A,#N/A,FALSE,"Yearly SAIDI";#N/A,#N/A,FALSE,"Monthly MAIFI";#N/A,#N/A,FALSE,"Yearly MAIFI";#N/A,#N/A,FALSE,"Monthly Cust &gt;=4 Int"}</definedName>
    <definedName name="jeff" localSheetId="24" hidden="1">{#N/A,#N/A,FALSE,"Monthly SAIFI";#N/A,#N/A,FALSE,"Yearly SAIFI";#N/A,#N/A,FALSE,"Monthly CAIDI";#N/A,#N/A,FALSE,"Yearly CAIDI";#N/A,#N/A,FALSE,"Monthly SAIDI";#N/A,#N/A,FALSE,"Yearly SAIDI";#N/A,#N/A,FALSE,"Monthly MAIFI";#N/A,#N/A,FALSE,"Yearly MAIFI";#N/A,#N/A,FALSE,"Monthly Cust &gt;=4 Int"}</definedName>
    <definedName name="jeff" localSheetId="3"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1" hidden="1">{#N/A,#N/A,FALSE,"Monthly SAIFI";#N/A,#N/A,FALSE,"Yearly SAIFI";#N/A,#N/A,FALSE,"Monthly CAIDI";#N/A,#N/A,FALSE,"Yearly CAIDI";#N/A,#N/A,FALSE,"Monthly SAIDI";#N/A,#N/A,FALSE,"Yearly SAIDI";#N/A,#N/A,FALSE,"Monthly MAIFI";#N/A,#N/A,FALSE,"Yearly MAIFI";#N/A,#N/A,FALSE,"Monthly Cust &gt;=4 Int"}</definedName>
    <definedName name="jghjgjgfjgj" localSheetId="24" hidden="1">{#N/A,#N/A,FALSE,"Monthly SAIFI";#N/A,#N/A,FALSE,"Yearly SAIFI";#N/A,#N/A,FALSE,"Monthly CAIDI";#N/A,#N/A,FALSE,"Yearly CAIDI";#N/A,#N/A,FALSE,"Monthly SAIDI";#N/A,#N/A,FALSE,"Yearly SAIDI";#N/A,#N/A,FALSE,"Monthly MAIFI";#N/A,#N/A,FALSE,"Yearly MAIFI";#N/A,#N/A,FALSE,"Monthly Cust &gt;=4 Int"}</definedName>
    <definedName name="jghjgjgfjgj" localSheetId="3"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1" hidden="1">{#N/A,#N/A,FALSE,"Monthly SAIFI";#N/A,#N/A,FALSE,"Yearly SAIFI";#N/A,#N/A,FALSE,"Monthly CAIDI";#N/A,#N/A,FALSE,"Yearly CAIDI";#N/A,#N/A,FALSE,"Monthly SAIDI";#N/A,#N/A,FALSE,"Yearly SAIDI";#N/A,#N/A,FALSE,"Monthly MAIFI";#N/A,#N/A,FALSE,"Yearly MAIFI";#N/A,#N/A,FALSE,"Monthly Cust &gt;=4 Int"}</definedName>
    <definedName name="John" localSheetId="24" hidden="1">{#N/A,#N/A,FALSE,"Monthly SAIFI";#N/A,#N/A,FALSE,"Yearly SAIFI";#N/A,#N/A,FALSE,"Monthly CAIDI";#N/A,#N/A,FALSE,"Yearly CAIDI";#N/A,#N/A,FALSE,"Monthly SAIDI";#N/A,#N/A,FALSE,"Yearly SAIDI";#N/A,#N/A,FALSE,"Monthly MAIFI";#N/A,#N/A,FALSE,"Yearly MAIFI";#N/A,#N/A,FALSE,"Monthly Cust &gt;=4 Int"}</definedName>
    <definedName name="John" localSheetId="3"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1" hidden="1">{#N/A,#N/A,FALSE,"Monthly SAIFI";#N/A,#N/A,FALSE,"Yearly SAIFI";#N/A,#N/A,FALSE,"Monthly CAIDI";#N/A,#N/A,FALSE,"Yearly CAIDI";#N/A,#N/A,FALSE,"Monthly SAIDI";#N/A,#N/A,FALSE,"Yearly SAIDI";#N/A,#N/A,FALSE,"Monthly MAIFI";#N/A,#N/A,FALSE,"Yearly MAIFI";#N/A,#N/A,FALSE,"Monthly Cust &gt;=4 Int"}</definedName>
    <definedName name="k" localSheetId="24" hidden="1">{#N/A,#N/A,FALSE,"Monthly SAIFI";#N/A,#N/A,FALSE,"Yearly SAIFI";#N/A,#N/A,FALSE,"Monthly CAIDI";#N/A,#N/A,FALSE,"Yearly CAIDI";#N/A,#N/A,FALSE,"Monthly SAIDI";#N/A,#N/A,FALSE,"Yearly SAIDI";#N/A,#N/A,FALSE,"Monthly MAIFI";#N/A,#N/A,FALSE,"Yearly MAIFI";#N/A,#N/A,FALSE,"Monthly Cust &gt;=4 Int"}</definedName>
    <definedName name="k" localSheetId="3"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24"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4"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21" hidden="1">{#N/A,#N/A,FALSE,"Monthly SAIFI";#N/A,#N/A,FALSE,"Yearly SAIFI";#N/A,#N/A,FALSE,"Monthly CAIDI";#N/A,#N/A,FALSE,"Yearly CAIDI";#N/A,#N/A,FALSE,"Monthly SAIDI";#N/A,#N/A,FALSE,"Yearly SAIDI";#N/A,#N/A,FALSE,"Monthly MAIFI";#N/A,#N/A,FALSE,"Yearly MAIFI";#N/A,#N/A,FALSE,"Monthly Cust &gt;=4 Int"}</definedName>
    <definedName name="kk" localSheetId="24" hidden="1">{#N/A,#N/A,FALSE,"Monthly SAIFI";#N/A,#N/A,FALSE,"Yearly SAIFI";#N/A,#N/A,FALSE,"Monthly CAIDI";#N/A,#N/A,FALSE,"Yearly CAIDI";#N/A,#N/A,FALSE,"Monthly SAIDI";#N/A,#N/A,FALSE,"Yearly SAIDI";#N/A,#N/A,FALSE,"Monthly MAIFI";#N/A,#N/A,FALSE,"Yearly MAIFI";#N/A,#N/A,FALSE,"Monthly Cust &gt;=4 Int"}</definedName>
    <definedName name="kk" localSheetId="3"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1" hidden="1">{#N/A,#N/A,FALSE,"Monthly SAIFI";#N/A,#N/A,FALSE,"Yearly SAIFI";#N/A,#N/A,FALSE,"Monthly CAIDI";#N/A,#N/A,FALSE,"Yearly CAIDI";#N/A,#N/A,FALSE,"Monthly SAIDI";#N/A,#N/A,FALSE,"Yearly SAIDI";#N/A,#N/A,FALSE,"Monthly MAIFI";#N/A,#N/A,FALSE,"Yearly MAIFI";#N/A,#N/A,FALSE,"Monthly Cust &gt;=4 Int"}</definedName>
    <definedName name="kkk" localSheetId="24" hidden="1">{#N/A,#N/A,FALSE,"Monthly SAIFI";#N/A,#N/A,FALSE,"Yearly SAIFI";#N/A,#N/A,FALSE,"Monthly CAIDI";#N/A,#N/A,FALSE,"Yearly CAIDI";#N/A,#N/A,FALSE,"Monthly SAIDI";#N/A,#N/A,FALSE,"Yearly SAIDI";#N/A,#N/A,FALSE,"Monthly MAIFI";#N/A,#N/A,FALSE,"Yearly MAIFI";#N/A,#N/A,FALSE,"Monthly Cust &gt;=4 Int"}</definedName>
    <definedName name="kkk" localSheetId="3"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24">{"'Metretek HTML'!$A$7:$W$42"}</definedName>
    <definedName name="klio" localSheetId="3">{"'Metretek HTML'!$A$7:$W$42"}</definedName>
    <definedName name="klio" localSheetId="15">{"'Metretek HTML'!$A$7:$W$42"}</definedName>
    <definedName name="klio" localSheetId="16">{"'Metretek HTML'!$A$7:$W$42"}</definedName>
    <definedName name="klio">{"'Metretek HTML'!$A$7:$W$42"}</definedName>
    <definedName name="l">[70]Lists!$A$2:$A$4</definedName>
    <definedName name="L4_A">[71]total!#REF!</definedName>
    <definedName name="L4_B">[71]total!#REF!</definedName>
    <definedName name="LabHour" localSheetId="3">#REF!</definedName>
    <definedName name="LabHour">#REF!</definedName>
    <definedName name="Labor" localSheetId="3">#REF!</definedName>
    <definedName name="Labor">#REF!</definedName>
    <definedName name="Labor__excl._Cost_of_Sales_labor" localSheetId="3">#REF!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 localSheetId="3">#REF!</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 localSheetId="3">#REF!</definedName>
    <definedName name="Liab_from_Risk_Mgt___Trading">#REF!</definedName>
    <definedName name="Liab_from_Risk_Mgt___Trading___Current" localSheetId="3">#REF!</definedName>
    <definedName name="Liab_from_Risk_Mgt___Trading___Current">#REF!</definedName>
    <definedName name="Liabilities_from_Trans___Storage_Contracts" localSheetId="3">#REF!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24">{"'Metretek HTML'!$A$7:$W$42"}</definedName>
    <definedName name="LK" localSheetId="3">{"'Metretek HTML'!$A$7:$W$42"}</definedName>
    <definedName name="LK" localSheetId="15">{"'Metretek HTML'!$A$7:$W$42"}</definedName>
    <definedName name="LK" localSheetId="16">{"'Metretek HTML'!$A$7:$W$42"}</definedName>
    <definedName name="LK">{"'Metretek HTML'!$A$7:$W$42"}</definedName>
    <definedName name="ll" localSheetId="24" hidden="1">{#N/A,#N/A,FALSE,"EMPPAY"}</definedName>
    <definedName name="ll" localSheetId="3" hidden="1">{#N/A,#N/A,FALSE,"EMPPAY"}</definedName>
    <definedName name="ll" localSheetId="15" hidden="1">{#N/A,#N/A,FALSE,"EMPPAY"}</definedName>
    <definedName name="ll" localSheetId="16" hidden="1">{#N/A,#N/A,FALSE,"EMPPAY"}</definedName>
    <definedName name="ll" hidden="1">{#N/A,#N/A,FALSE,"EMPPAY"}</definedName>
    <definedName name="LOAD">#REF!</definedName>
    <definedName name="LOAD_4">[71]total!#REF!</definedName>
    <definedName name="Loan_from_Affiliate" localSheetId="3">#REF!</definedName>
    <definedName name="Loan_from_Affiliate">#REF!</definedName>
    <definedName name="lob" localSheetId="3">#REF!</definedName>
    <definedName name="lob">#REF!</definedName>
    <definedName name="lobcolumn" localSheetId="3">#REF!</definedName>
    <definedName name="lobcolumn">#REF!</definedName>
    <definedName name="LOCATE3">#N/A</definedName>
    <definedName name="LOCTABLE">#REF!</definedName>
    <definedName name="LOCTextLen">#REF!</definedName>
    <definedName name="loilpuioopy" localSheetId="21" hidden="1">{#N/A,#N/A,FALSE,"Monthly SAIFI";#N/A,#N/A,FALSE,"Yearly SAIFI";#N/A,#N/A,FALSE,"Monthly CAIDI";#N/A,#N/A,FALSE,"Yearly CAIDI";#N/A,#N/A,FALSE,"Monthly SAIDI";#N/A,#N/A,FALSE,"Yearly SAIDI";#N/A,#N/A,FALSE,"Monthly MAIFI";#N/A,#N/A,FALSE,"Yearly MAIFI";#N/A,#N/A,FALSE,"Monthly Cust &gt;=4 Int"}</definedName>
    <definedName name="loilpuioopy" localSheetId="24" hidden="1">{#N/A,#N/A,FALSE,"Monthly SAIFI";#N/A,#N/A,FALSE,"Yearly SAIFI";#N/A,#N/A,FALSE,"Monthly CAIDI";#N/A,#N/A,FALSE,"Yearly CAIDI";#N/A,#N/A,FALSE,"Monthly SAIDI";#N/A,#N/A,FALSE,"Yearly SAIDI";#N/A,#N/A,FALSE,"Monthly MAIFI";#N/A,#N/A,FALSE,"Yearly MAIFI";#N/A,#N/A,FALSE,"Monthly Cust &gt;=4 Int"}</definedName>
    <definedName name="loilpuioopy" localSheetId="3"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 localSheetId="3">#REF!</definedName>
    <definedName name="LRG_GE">#REF!</definedName>
    <definedName name="LRG_GJ" localSheetId="3">#REF!</definedName>
    <definedName name="LRG_GJ">#REF!</definedName>
    <definedName name="lsdfj" localSheetId="21" hidden="1">{#N/A,#N/A,FALSE,"Monthly SAIFI";#N/A,#N/A,FALSE,"Yearly SAIFI";#N/A,#N/A,FALSE,"Monthly CAIDI";#N/A,#N/A,FALSE,"Yearly CAIDI";#N/A,#N/A,FALSE,"Monthly SAIDI";#N/A,#N/A,FALSE,"Yearly SAIDI";#N/A,#N/A,FALSE,"Monthly MAIFI";#N/A,#N/A,FALSE,"Yearly MAIFI";#N/A,#N/A,FALSE,"Monthly Cust &gt;=4 Int"}</definedName>
    <definedName name="lsdfj" localSheetId="24" hidden="1">{#N/A,#N/A,FALSE,"Monthly SAIFI";#N/A,#N/A,FALSE,"Yearly SAIFI";#N/A,#N/A,FALSE,"Monthly CAIDI";#N/A,#N/A,FALSE,"Yearly CAIDI";#N/A,#N/A,FALSE,"Monthly SAIDI";#N/A,#N/A,FALSE,"Yearly SAIDI";#N/A,#N/A,FALSE,"Monthly MAIFI";#N/A,#N/A,FALSE,"Yearly MAIFI";#N/A,#N/A,FALSE,"Monthly Cust &gt;=4 Int"}</definedName>
    <definedName name="lsdfj" localSheetId="3"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1" hidden="1">{#N/A,#N/A,FALSE,"Monthly SAIFI";#N/A,#N/A,FALSE,"Yearly SAIFI";#N/A,#N/A,FALSE,"Monthly CAIDI";#N/A,#N/A,FALSE,"Yearly CAIDI";#N/A,#N/A,FALSE,"Monthly SAIDI";#N/A,#N/A,FALSE,"Yearly SAIDI";#N/A,#N/A,FALSE,"Monthly MAIFI";#N/A,#N/A,FALSE,"Yearly MAIFI";#N/A,#N/A,FALSE,"Monthly Cust &gt;=4 Int"}</definedName>
    <definedName name="lsdjf" localSheetId="24" hidden="1">{#N/A,#N/A,FALSE,"Monthly SAIFI";#N/A,#N/A,FALSE,"Yearly SAIFI";#N/A,#N/A,FALSE,"Monthly CAIDI";#N/A,#N/A,FALSE,"Yearly CAIDI";#N/A,#N/A,FALSE,"Monthly SAIDI";#N/A,#N/A,FALSE,"Yearly SAIDI";#N/A,#N/A,FALSE,"Monthly MAIFI";#N/A,#N/A,FALSE,"Yearly MAIFI";#N/A,#N/A,FALSE,"Monthly Cust &gt;=4 Int"}</definedName>
    <definedName name="lsdjf" localSheetId="3"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1" hidden="1">{#N/A,#N/A,FALSE,"Monthly SAIFI";#N/A,#N/A,FALSE,"Yearly SAIFI";#N/A,#N/A,FALSE,"Monthly CAIDI";#N/A,#N/A,FALSE,"Yearly CAIDI";#N/A,#N/A,FALSE,"Monthly SAIDI";#N/A,#N/A,FALSE,"Yearly SAIDI";#N/A,#N/A,FALSE,"Monthly MAIFI";#N/A,#N/A,FALSE,"Yearly MAIFI";#N/A,#N/A,FALSE,"Monthly Cust &gt;=4 Int"}</definedName>
    <definedName name="lsdjfl" localSheetId="24" hidden="1">{#N/A,#N/A,FALSE,"Monthly SAIFI";#N/A,#N/A,FALSE,"Yearly SAIFI";#N/A,#N/A,FALSE,"Monthly CAIDI";#N/A,#N/A,FALSE,"Yearly CAIDI";#N/A,#N/A,FALSE,"Monthly SAIDI";#N/A,#N/A,FALSE,"Yearly SAIDI";#N/A,#N/A,FALSE,"Monthly MAIFI";#N/A,#N/A,FALSE,"Yearly MAIFI";#N/A,#N/A,FALSE,"Monthly Cust &gt;=4 Int"}</definedName>
    <definedName name="lsdjfl" localSheetId="3"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1" hidden="1">{#N/A,#N/A,FALSE,"Monthly SAIFI";#N/A,#N/A,FALSE,"Yearly SAIFI";#N/A,#N/A,FALSE,"Monthly CAIDI";#N/A,#N/A,FALSE,"Yearly CAIDI";#N/A,#N/A,FALSE,"Monthly SAIDI";#N/A,#N/A,FALSE,"Yearly SAIDI";#N/A,#N/A,FALSE,"Monthly MAIFI";#N/A,#N/A,FALSE,"Yearly MAIFI";#N/A,#N/A,FALSE,"Monthly Cust &gt;=4 Int"}</definedName>
    <definedName name="lsdjfls" localSheetId="24" hidden="1">{#N/A,#N/A,FALSE,"Monthly SAIFI";#N/A,#N/A,FALSE,"Yearly SAIFI";#N/A,#N/A,FALSE,"Monthly CAIDI";#N/A,#N/A,FALSE,"Yearly CAIDI";#N/A,#N/A,FALSE,"Monthly SAIDI";#N/A,#N/A,FALSE,"Yearly SAIDI";#N/A,#N/A,FALSE,"Monthly MAIFI";#N/A,#N/A,FALSE,"Yearly MAIFI";#N/A,#N/A,FALSE,"Monthly Cust &gt;=4 Int"}</definedName>
    <definedName name="lsdjfls" localSheetId="3"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1" hidden="1">{#N/A,#N/A,FALSE,"Monthly SAIFI";#N/A,#N/A,FALSE,"Yearly SAIFI";#N/A,#N/A,FALSE,"Monthly CAIDI";#N/A,#N/A,FALSE,"Yearly CAIDI";#N/A,#N/A,FALSE,"Monthly SAIDI";#N/A,#N/A,FALSE,"Yearly SAIDI";#N/A,#N/A,FALSE,"Monthly MAIFI";#N/A,#N/A,FALSE,"Yearly MAIFI";#N/A,#N/A,FALSE,"Monthly Cust &gt;=4 Int"}</definedName>
    <definedName name="lsdjfsdl" localSheetId="24" hidden="1">{#N/A,#N/A,FALSE,"Monthly SAIFI";#N/A,#N/A,FALSE,"Yearly SAIFI";#N/A,#N/A,FALSE,"Monthly CAIDI";#N/A,#N/A,FALSE,"Yearly CAIDI";#N/A,#N/A,FALSE,"Monthly SAIDI";#N/A,#N/A,FALSE,"Yearly SAIDI";#N/A,#N/A,FALSE,"Monthly MAIFI";#N/A,#N/A,FALSE,"Yearly MAIFI";#N/A,#N/A,FALSE,"Monthly Cust &gt;=4 Int"}</definedName>
    <definedName name="lsdjfsdl" localSheetId="3"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1" hidden="1">{#N/A,#N/A,FALSE,"Monthly SAIFI";#N/A,#N/A,FALSE,"Yearly SAIFI";#N/A,#N/A,FALSE,"Monthly CAIDI";#N/A,#N/A,FALSE,"Yearly CAIDI";#N/A,#N/A,FALSE,"Monthly SAIDI";#N/A,#N/A,FALSE,"Yearly SAIDI";#N/A,#N/A,FALSE,"Monthly MAIFI";#N/A,#N/A,FALSE,"Yearly MAIFI";#N/A,#N/A,FALSE,"Monthly Cust &gt;=4 Int"}</definedName>
    <definedName name="lsdjfsl" localSheetId="24" hidden="1">{#N/A,#N/A,FALSE,"Monthly SAIFI";#N/A,#N/A,FALSE,"Yearly SAIFI";#N/A,#N/A,FALSE,"Monthly CAIDI";#N/A,#N/A,FALSE,"Yearly CAIDI";#N/A,#N/A,FALSE,"Monthly SAIDI";#N/A,#N/A,FALSE,"Yearly SAIDI";#N/A,#N/A,FALSE,"Monthly MAIFI";#N/A,#N/A,FALSE,"Yearly MAIFI";#N/A,#N/A,FALSE,"Monthly Cust &gt;=4 Int"}</definedName>
    <definedName name="lsdjfsl" localSheetId="3"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1" hidden="1">{#N/A,#N/A,FALSE,"Monthly SAIFI";#N/A,#N/A,FALSE,"Yearly SAIFI";#N/A,#N/A,FALSE,"Monthly CAIDI";#N/A,#N/A,FALSE,"Yearly CAIDI";#N/A,#N/A,FALSE,"Monthly SAIDI";#N/A,#N/A,FALSE,"Yearly SAIDI";#N/A,#N/A,FALSE,"Monthly MAIFI";#N/A,#N/A,FALSE,"Yearly MAIFI";#N/A,#N/A,FALSE,"Monthly Cust &gt;=4 Int"}</definedName>
    <definedName name="lsjfls" localSheetId="24" hidden="1">{#N/A,#N/A,FALSE,"Monthly SAIFI";#N/A,#N/A,FALSE,"Yearly SAIFI";#N/A,#N/A,FALSE,"Monthly CAIDI";#N/A,#N/A,FALSE,"Yearly CAIDI";#N/A,#N/A,FALSE,"Monthly SAIDI";#N/A,#N/A,FALSE,"Yearly SAIDI";#N/A,#N/A,FALSE,"Monthly MAIFI";#N/A,#N/A,FALSE,"Yearly MAIFI";#N/A,#N/A,FALSE,"Monthly Cust &gt;=4 Int"}</definedName>
    <definedName name="lsjfls" localSheetId="3"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 localSheetId="3">#REF!</definedName>
    <definedName name="map.v1">#REF!</definedName>
    <definedName name="MAR" localSheetId="3">#REF!</definedName>
    <definedName name="MAR">#REF!</definedName>
    <definedName name="Margin" localSheetId="3">#REF!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1" hidden="1">{#N/A,#N/A,FALSE,"EMPPAY"}</definedName>
    <definedName name="MAY" localSheetId="15" hidden="1">{#N/A,#N/A,FALSE,"EMPPAY"}</definedName>
    <definedName name="MAY" localSheetId="14" hidden="1">{#N/A,#N/A,FALSE,"EMPPAY"}</definedName>
    <definedName name="MAY" localSheetId="19" hidden="1">{#N/A,#N/A,FALSE,"EMPPAY"}</definedName>
    <definedName name="MAY" localSheetId="20" hidden="1">{#N/A,#N/A,FALSE,"EMPPAY"}</definedName>
    <definedName name="MAY">#REF!</definedName>
    <definedName name="MC">#REF!</definedName>
    <definedName name="MCDATA">'[72]MTHLY MEAS.'!#REF!</definedName>
    <definedName name="MCGC_Elims" localSheetId="3">#REF!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 localSheetId="3">#REF!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 localSheetId="3">#REF!</definedName>
    <definedName name="MCGC2003">#REF!</definedName>
    <definedName name="MCGC2004" localSheetId="3">#REF!</definedName>
    <definedName name="MCGC2004">#REF!</definedName>
    <definedName name="MCGC2005" localSheetId="3">#REF!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 localSheetId="3">#REF!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 localSheetId="3">#REF!</definedName>
    <definedName name="MichCon_Cons___Purch_Acct_Total">#REF!</definedName>
    <definedName name="MichCon_Consol_Total" localSheetId="3">#REF!</definedName>
    <definedName name="MichCon_Consol_Total">#REF!</definedName>
    <definedName name="MichCon_Subs__Holdings___Elims" localSheetId="3">#REF!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 localSheetId="3">#REF!</definedName>
    <definedName name="MILESTONES_1">#REF!</definedName>
    <definedName name="MILESTONES_2" localSheetId="3">#REF!</definedName>
    <definedName name="MILESTONES_2">#REF!</definedName>
    <definedName name="Millennium_Pipeline" localSheetId="3">#REF!</definedName>
    <definedName name="Millennium_Pipeline">#REF!</definedName>
    <definedName name="Millennium_Pipeline_YR_2005" localSheetId="3">'[35]Aday IS EG Subs'!#REF!</definedName>
    <definedName name="Millennium_Pipeline_YR_2005">'[35]Aday IS EG Subs'!#REF!</definedName>
    <definedName name="Millennium_Pipeline_YR_2006" localSheetId="3">'[35]Aday IS EG Subs'!#REF!</definedName>
    <definedName name="Millennium_Pipeline_YR_2006">'[35]Aday IS EG Subs'!#REF!</definedName>
    <definedName name="Millennium_Pipeline_YR_2007" localSheetId="3">'[35]Aday IS EG Subs'!#REF!</definedName>
    <definedName name="Millennium_Pipeline_YR_2007">'[35]Aday IS EG Subs'!#REF!</definedName>
    <definedName name="Millennium_Pipeline_YR_2008" localSheetId="3">'[35]Aday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 localSheetId="3">#REF!</definedName>
    <definedName name="MONTH_02">#REF!</definedName>
    <definedName name="MONTH_03" localSheetId="3">#REF!</definedName>
    <definedName name="MONTH_03">#REF!</definedName>
    <definedName name="MONTH_04" localSheetId="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 localSheetId="3">#REF!</definedName>
    <definedName name="MTC_Type">#REF!</definedName>
    <definedName name="MTH">#N/A</definedName>
    <definedName name="N_A">'[26]C. Input'!#REF!</definedName>
    <definedName name="NavPane" localSheetId="3">#REF!</definedName>
    <definedName name="NavPane">#REF!</definedName>
    <definedName name="NCP">#N/A</definedName>
    <definedName name="NCP_1">#N/A</definedName>
    <definedName name="NCPK1">#N/A</definedName>
    <definedName name="NCPK1X" localSheetId="3">#REF!</definedName>
    <definedName name="NCPK1X">#REF!</definedName>
    <definedName name="NCPK2" localSheetId="3">#REF!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24" hidden="1">{#N/A,#N/A,FALSE,"O&amp;M by processes";#N/A,#N/A,FALSE,"Elec Act vs Bud";#N/A,#N/A,FALSE,"G&amp;A";#N/A,#N/A,FALSE,"BGS";#N/A,#N/A,FALSE,"Res Cost"}</definedName>
    <definedName name="new" localSheetId="3"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 localSheetId="3">#REF!</definedName>
    <definedName name="New_Investments___Plant_Retirements">#REF!</definedName>
    <definedName name="NEW_YEAR" localSheetId="3">#REF!</definedName>
    <definedName name="NEW_YEAR">#REF!</definedName>
    <definedName name="NewHire">8500</definedName>
    <definedName name="NEXT_STEP">[10]Comparison!$CK$14</definedName>
    <definedName name="NINE">#N/A</definedName>
    <definedName name="Node">[76]Hierarchy!$B$2:$E$16455</definedName>
    <definedName name="NoErrMsg" localSheetId="3">#REF!</definedName>
    <definedName name="NoErrMsg">#REF!</definedName>
    <definedName name="non_cap_int">'[37]Input Page'!$E$15</definedName>
    <definedName name="NON_PROCESS_DETAIL" localSheetId="3">#REF!</definedName>
    <definedName name="NON_PROCESS_DETAIL">#REF!</definedName>
    <definedName name="NON_PROCESS_PRESENTATION_PAGE" localSheetId="3">#REF!</definedName>
    <definedName name="NON_PROCESS_PRESENTATION_PAGE">#REF!</definedName>
    <definedName name="Non_Utility_Interest_Capitalized" localSheetId="3">#REF!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1" hidden="1">{#N/A,#N/A,FALSE,"Monthly SAIFI";#N/A,#N/A,FALSE,"Yearly SAIFI";#N/A,#N/A,FALSE,"Monthly CAIDI";#N/A,#N/A,FALSE,"Yearly CAIDI";#N/A,#N/A,FALSE,"Monthly SAIDI";#N/A,#N/A,FALSE,"Yearly SAIDI";#N/A,#N/A,FALSE,"Monthly MAIFI";#N/A,#N/A,FALSE,"Yearly MAIFI";#N/A,#N/A,FALSE,"Monthly Cust &gt;=4 Int"}</definedName>
    <definedName name="November09" localSheetId="24" hidden="1">{#N/A,#N/A,FALSE,"Monthly SAIFI";#N/A,#N/A,FALSE,"Yearly SAIFI";#N/A,#N/A,FALSE,"Monthly CAIDI";#N/A,#N/A,FALSE,"Yearly CAIDI";#N/A,#N/A,FALSE,"Monthly SAIDI";#N/A,#N/A,FALSE,"Yearly SAIDI";#N/A,#N/A,FALSE,"Monthly MAIFI";#N/A,#N/A,FALSE,"Yearly MAIFI";#N/A,#N/A,FALSE,"Monthly Cust &gt;=4 Int"}</definedName>
    <definedName name="November09" localSheetId="3"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6"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 localSheetId="3">#REF!</definedName>
    <definedName name="Nuclear_Decommissioning">#REF!</definedName>
    <definedName name="Nuclear_Decommissioning_Trust_Funds" localSheetId="3">#REF!</definedName>
    <definedName name="Nuclear_Decommissioning_Trust_Funds">#REF!</definedName>
    <definedName name="Nuclear_Secur_Date">[25]Assumptions!$E$21</definedName>
    <definedName name="NUTIL" localSheetId="3">#REF!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 localSheetId="3">#REF!</definedName>
    <definedName name="Other_Accounts_Receivable">#REF!</definedName>
    <definedName name="Other_Adjustment" localSheetId="3">#REF!</definedName>
    <definedName name="Other_Adjustment">#REF!</definedName>
    <definedName name="OTHER_ASSETS" localSheetId="3">#REF!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 localSheetId="3">#REF!</definedName>
    <definedName name="Other_Growth_YR_2003">#REF!</definedName>
    <definedName name="Other_Growth_YR_2004" localSheetId="3">#REF!</definedName>
    <definedName name="Other_Growth_YR_2004">#REF!</definedName>
    <definedName name="Other_Growth_YR_2005" localSheetId="3">#REF!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 localSheetId="3">#REF!</definedName>
    <definedName name="Other_OID_CPM">#REF!</definedName>
    <definedName name="Other_Operating_Expenses" localSheetId="3">#REF!</definedName>
    <definedName name="Other_Operating_Expenses">#REF!</definedName>
    <definedName name="OTHER_PLANT_RELATED_ACTIVITY" localSheetId="3">#REF!</definedName>
    <definedName name="OTHER_PLANT_RELATED_ACTIVITY">#REF!</definedName>
    <definedName name="OTHER_REPORTED_ITEMS">#REF!</definedName>
    <definedName name="Other_Temporary_Differences_CPM">#REF!</definedName>
    <definedName name="OTR_TST">'[26]A.2 PTP'!$P$129</definedName>
    <definedName name="Out_of_Balance_Condition" localSheetId="3">#REF!</definedName>
    <definedName name="Out_of_Balance_Condition">#REF!</definedName>
    <definedName name="OUT_OF_BALANCE_CONDITION___Account_Detail" localSheetId="3">#REF!</definedName>
    <definedName name="OUT_OF_BALANCE_CONDITION___Account_Detail">#REF!</definedName>
    <definedName name="Over_Recovery_of_Supply_Costs" localSheetId="3">#REF!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 localSheetId="3">#REF!</definedName>
    <definedName name="PAGE1A">#REF!</definedName>
    <definedName name="PAGE2" localSheetId="3">#REF!</definedName>
    <definedName name="PAGE2">#REF!</definedName>
    <definedName name="PAGE20" localSheetId="3">#REF!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 localSheetId="3">#REF!</definedName>
    <definedName name="PG3A">#REF!</definedName>
    <definedName name="PGAUG" localSheetId="3">#REF!</definedName>
    <definedName name="PGAUG">#REF!</definedName>
    <definedName name="pgprct" localSheetId="3">'[29]Percent Read YTD '!#REF!</definedName>
    <definedName name="pgprct">'[29]Percent Read YTD '!#REF!</definedName>
    <definedName name="PGPSA" localSheetId="3">#REF!</definedName>
    <definedName name="PGPSA">#REF!</definedName>
    <definedName name="Phase">'[10]Macro Tables'!$F$21</definedName>
    <definedName name="PHASE_HELP" localSheetId="3">#REF!</definedName>
    <definedName name="PHASE_HELP">#REF!</definedName>
    <definedName name="Pipe___Proc_Growth_YR_2003" localSheetId="3">#REF!</definedName>
    <definedName name="Pipe___Proc_Growth_YR_2003">#REF!</definedName>
    <definedName name="Pipe___Proc_Growth_YR_2004" localSheetId="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 localSheetId="3">#REF!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 localSheetId="3">#REF!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 localSheetId="3">#REF!</definedName>
    <definedName name="PP_E_Book_Gain__Loss">#REF!</definedName>
    <definedName name="PP_E_Sold_Book_Basis" localSheetId="3">#REF!</definedName>
    <definedName name="PP_E_Sold_Book_Basis">#REF!</definedName>
    <definedName name="PP_E_Sold_Gross_Proceeds" localSheetId="3">#REF!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 localSheetId="3">#REF!</definedName>
    <definedName name="PRDSUM">#REF!</definedName>
    <definedName name="Preferred__QUIDS___Convertibles" localSheetId="3">#REF!</definedName>
    <definedName name="Preferred__QUIDS___Convertibles">#REF!</definedName>
    <definedName name="Preferred_Debt___Convertible_Equity" localSheetId="3">#REF!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 localSheetId="3">#REF!</definedName>
    <definedName name="PRINT">#REF!</definedName>
    <definedName name="Print.selection.print" localSheetId="3">#REF!</definedName>
    <definedName name="Print.selection.print">#REF!</definedName>
    <definedName name="PRINT_1" localSheetId="3">#REF!</definedName>
    <definedName name="PRINT_1">#REF!</definedName>
    <definedName name="PRINT_2">#REF!</definedName>
    <definedName name="PRINT_3">#REF!</definedName>
    <definedName name="Print_99_IS">'[75]2nd qtr 2000'!$D$1:$I$58,'[75]2nd qtr 2000'!$N$1:$T$58,'[75]2nd qtr 2000'!$AA$1:$AH$57</definedName>
    <definedName name="_xlnm.Print_Area" localSheetId="24">'12- Depreciation Rates'!$A$1:$D$75</definedName>
    <definedName name="_xlnm.Print_Area" localSheetId="1">'1A - ADIT Summary'!$A$1:$S$213</definedName>
    <definedName name="_xlnm.Print_Area" localSheetId="2">'1B - ADIT EOY'!$A$1:$K$321</definedName>
    <definedName name="_xlnm.Print_Area" localSheetId="3">'1C - ADIT BOY'!$A$1:$K$320</definedName>
    <definedName name="_xlnm.Print_Area" localSheetId="4">'1D - EDIT Rate Base Adjustment'!$A:$S</definedName>
    <definedName name="_xlnm.Print_Area" localSheetId="5">'1E - ADIT Amortization'!$A$1:$R$496</definedName>
    <definedName name="_xlnm.Print_Area" localSheetId="6">'1F - ADIT Remeasurement'!$A:$AI</definedName>
    <definedName name="_xlnm.Print_Area" localSheetId="9">'3 - Revenue Credits'!$A$1:$H$47</definedName>
    <definedName name="_xlnm.Print_Area" localSheetId="12">'5a Affiliate Allocations'!$A$1:$Q$142</definedName>
    <definedName name="_xlnm.Print_Area" localSheetId="13">'5b EBSC Affiliate Allocations'!$A$1:$P$30</definedName>
    <definedName name="_xlnm.Print_Area" localSheetId="16">'6B - True-Up Interest '!$A$1:$H$70</definedName>
    <definedName name="_xlnm.Print_Area" localSheetId="14">'6-Project Rev Req'!$A$1:$Q$116</definedName>
    <definedName name="_xlnm.Print_Area" localSheetId="17">'7 - Cap Add WS'!$A$1:$BX$78</definedName>
    <definedName name="_xlnm.Print_Area" localSheetId="0">'ATT H-9A'!$A:$H</definedName>
    <definedName name="_xlnm.Print_Area">#REF!</definedName>
    <definedName name="Print_Area_1" localSheetId="15">#REF!</definedName>
    <definedName name="Print_Area_1" localSheetId="16">#REF!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Print_Titles_MI">'[84]DACTIVE$'!$A$1:$IV$4,'[84]DACTIVE$'!$A$1:$A$65536</definedName>
    <definedName name="PRINT2" localSheetId="15">#REF!</definedName>
    <definedName name="PRINT2" localSheetId="16">#REF!</definedName>
    <definedName name="PRINT2">#REF!</definedName>
    <definedName name="printarea">#REF!</definedName>
    <definedName name="PrintareaDec">'[85]kWh-Mcf'!$E$97,'[85]kWh-Mcf'!$A$81:$E$118,'[85]kWh-Mcf'!$AM$86:$AO$118</definedName>
    <definedName name="PRINTFILE" localSheetId="3">#REF!</definedName>
    <definedName name="PRINTFILE">#REF!</definedName>
    <definedName name="printyearfrom" localSheetId="15">#REF!</definedName>
    <definedName name="printyearfrom" localSheetId="16">#REF!</definedName>
    <definedName name="printyearfrom">#REF!</definedName>
    <definedName name="printyearto" localSheetId="15">#REF!</definedName>
    <definedName name="printyearto" localSheetId="16">#REF!</definedName>
    <definedName name="printyearto">#REF!</definedName>
    <definedName name="PRIOR" localSheetId="15">[19]DEPR96!#REF!</definedName>
    <definedName name="PRIOR" localSheetId="16">[19]DEPR96!#REF!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 localSheetId="3">#REF!</definedName>
    <definedName name="Prnt_Area">#REF!</definedName>
    <definedName name="Proc2003" localSheetId="3">#REF!</definedName>
    <definedName name="Proc2003">#REF!</definedName>
    <definedName name="Proc2004" localSheetId="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 localSheetId="3">#REF!</definedName>
    <definedName name="PROJ_WOTextLen">#REF!</definedName>
    <definedName name="Projection">'[30]Appendix A'!$H$7</definedName>
    <definedName name="PROPERTY" localSheetId="3">#REF!</definedName>
    <definedName name="PROPERTY">#REF!</definedName>
    <definedName name="Property___Equipment" localSheetId="3">#REF!</definedName>
    <definedName name="Property___Equipment">#REF!</definedName>
    <definedName name="Property___Other_Tax_CPM" localSheetId="3">#REF!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 localSheetId="3">#REF!</definedName>
    <definedName name="Q">#REF!</definedName>
    <definedName name="QCDATA" localSheetId="3">#REF!</definedName>
    <definedName name="QCDATA">#REF!</definedName>
    <definedName name="QCUTIN" localSheetId="3">#REF!</definedName>
    <definedName name="QCUTIN">#REF!</definedName>
    <definedName name="QES">'[10]Gross_Rec:QRE''s'!$B$53:$N$112</definedName>
    <definedName name="QRE_HELP" localSheetId="3">#REF!</definedName>
    <definedName name="QRE_HELP" localSheetId="15">#REF!</definedName>
    <definedName name="QRE_HELP" localSheetId="16">#REF!</definedName>
    <definedName name="QRE_HELP">#REF!</definedName>
    <definedName name="QRE_MARGINS" localSheetId="15">#REF!</definedName>
    <definedName name="QRE_MARGINS" localSheetId="16">#REF!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 localSheetId="24">{"'Metretek HTML'!$A$7:$W$42"}</definedName>
    <definedName name="qw" localSheetId="3">{"'Metretek HTML'!$A$7:$W$42"}</definedName>
    <definedName name="qw" localSheetId="15">{"'Metretek HTML'!$A$7:$W$42"}</definedName>
    <definedName name="qw" localSheetId="16">{"'Metretek HTML'!$A$7:$W$42"}</definedName>
    <definedName name="qw">{"'Metretek HTML'!$A$7:$W$42"}</definedName>
    <definedName name="RA">'[26]C. Input'!$F$343</definedName>
    <definedName name="RANGE" localSheetId="3">#REF!</definedName>
    <definedName name="RANGE">#REF!</definedName>
    <definedName name="Rate_Reduction_Factor" localSheetId="3">#REF!</definedName>
    <definedName name="Rate_Reduction_Factor">#REF!</definedName>
    <definedName name="Rate_Relief" localSheetId="3">#REF!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21" hidden="1">{#N/A,#N/A,FALSE,"Monthly SAIFI";#N/A,#N/A,FALSE,"Yearly SAIFI";#N/A,#N/A,FALSE,"Monthly CAIDI";#N/A,#N/A,FALSE,"Yearly CAIDI";#N/A,#N/A,FALSE,"Monthly SAIDI";#N/A,#N/A,FALSE,"Yearly SAIDI";#N/A,#N/A,FALSE,"Monthly MAIFI";#N/A,#N/A,FALSE,"Yearly MAIFI";#N/A,#N/A,FALSE,"Monthly Cust &gt;=4 Int"}</definedName>
    <definedName name="reawreqw" localSheetId="24" hidden="1">{#N/A,#N/A,FALSE,"Monthly SAIFI";#N/A,#N/A,FALSE,"Yearly SAIFI";#N/A,#N/A,FALSE,"Monthly CAIDI";#N/A,#N/A,FALSE,"Yearly CAIDI";#N/A,#N/A,FALSE,"Monthly SAIDI";#N/A,#N/A,FALSE,"Yearly SAIDI";#N/A,#N/A,FALSE,"Monthly MAIFI";#N/A,#N/A,FALSE,"Yearly MAIFI";#N/A,#N/A,FALSE,"Monthly Cust &gt;=4 Int"}</definedName>
    <definedName name="reawreqw" localSheetId="3"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 localSheetId="3">#REF!</definedName>
    <definedName name="Regulatory_Assets">#REF!</definedName>
    <definedName name="Regulatory_Assets_CPM" localSheetId="3">#REF!</definedName>
    <definedName name="Regulatory_Assets_CPM">#REF!</definedName>
    <definedName name="Regulatory_Liabilities" localSheetId="3">#REF!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 localSheetId="3">#REF!</definedName>
    <definedName name="Restricted_Cash" localSheetId="15">#REF!</definedName>
    <definedName name="Restricted_Cash" localSheetId="16">#REF!</definedName>
    <definedName name="Restricted_Cash">#REF!</definedName>
    <definedName name="Restricted_Cash_Account" localSheetId="15">#REF!</definedName>
    <definedName name="Restricted_Cash_Account" localSheetId="16">#REF!</definedName>
    <definedName name="Restricted_Cash_Account">#REF!</definedName>
    <definedName name="Results">#REF!</definedName>
    <definedName name="retail" localSheetId="24"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4"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4"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3">[19]DEPR96!#REF!</definedName>
    <definedName name="RLST">[19]DEPR96!#REF!</definedName>
    <definedName name="RPT_B" localSheetId="3">#REF!</definedName>
    <definedName name="RPT_B">#REF!</definedName>
    <definedName name="RPT_G" localSheetId="3">#REF!</definedName>
    <definedName name="RPT_G">#REF!</definedName>
    <definedName name="RPTX">#REF!</definedName>
    <definedName name="RRE">'[26]C. Input'!$F$207</definedName>
    <definedName name="rrrr" localSheetId="21" hidden="1">{#N/A,#N/A,FALSE,"O&amp;M by processes";#N/A,#N/A,FALSE,"Elec Act vs Bud";#N/A,#N/A,FALSE,"G&amp;A";#N/A,#N/A,FALSE,"BGS";#N/A,#N/A,FALSE,"Res Cost"}</definedName>
    <definedName name="rrrr" localSheetId="24"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 localSheetId="3">#REF!</definedName>
    <definedName name="RSUM" localSheetId="15">#REF!</definedName>
    <definedName name="RSUM" localSheetId="16">#REF!</definedName>
    <definedName name="RSUM">#REF!</definedName>
    <definedName name="RTT" localSheetId="15">#REF!</definedName>
    <definedName name="RTT" localSheetId="16">#REF!</definedName>
    <definedName name="RTT">#REF!</definedName>
    <definedName name="RTX">'[26]C. Input'!$F$222</definedName>
    <definedName name="RunDateTime" localSheetId="3">#REF!</definedName>
    <definedName name="RunDateTime" localSheetId="15">#REF!</definedName>
    <definedName name="RunDateTime" localSheetId="16">#REF!</definedName>
    <definedName name="RunDateTime">#REF!</definedName>
    <definedName name="S">'[26]C. Input'!$F$76</definedName>
    <definedName name="sample1" localSheetId="3">#REF!</definedName>
    <definedName name="sample1">#REF!</definedName>
    <definedName name="Sample2" localSheetId="3">#REF!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1" hidden="1">{#N/A,#N/A,FALSE,"Monthly SAIFI";#N/A,#N/A,FALSE,"Yearly SAIFI";#N/A,#N/A,FALSE,"Monthly CAIDI";#N/A,#N/A,FALSE,"Yearly CAIDI";#N/A,#N/A,FALSE,"Monthly SAIDI";#N/A,#N/A,FALSE,"Yearly SAIDI";#N/A,#N/A,FALSE,"Monthly MAIFI";#N/A,#N/A,FALSE,"Yearly MAIFI";#N/A,#N/A,FALSE,"Monthly Cust &gt;=4 Int"}</definedName>
    <definedName name="saSAsa" localSheetId="24" hidden="1">{#N/A,#N/A,FALSE,"Monthly SAIFI";#N/A,#N/A,FALSE,"Yearly SAIFI";#N/A,#N/A,FALSE,"Monthly CAIDI";#N/A,#N/A,FALSE,"Yearly CAIDI";#N/A,#N/A,FALSE,"Monthly SAIDI";#N/A,#N/A,FALSE,"Yearly SAIDI";#N/A,#N/A,FALSE,"Monthly MAIFI";#N/A,#N/A,FALSE,"Yearly MAIFI";#N/A,#N/A,FALSE,"Monthly Cust &gt;=4 Int"}</definedName>
    <definedName name="saSAsa" localSheetId="3"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21" hidden="1">{#N/A,#N/A,FALSE,"Monthly SAIFI";#N/A,#N/A,FALSE,"Yearly SAIFI";#N/A,#N/A,FALSE,"Monthly CAIDI";#N/A,#N/A,FALSE,"Yearly CAIDI";#N/A,#N/A,FALSE,"Monthly SAIDI";#N/A,#N/A,FALSE,"Yearly SAIDI";#N/A,#N/A,FALSE,"Monthly MAIFI";#N/A,#N/A,FALSE,"Yearly MAIFI";#N/A,#N/A,FALSE,"Monthly Cust &gt;=4 Int"}</definedName>
    <definedName name="sdf" localSheetId="24" hidden="1">{#N/A,#N/A,FALSE,"Monthly SAIFI";#N/A,#N/A,FALSE,"Yearly SAIFI";#N/A,#N/A,FALSE,"Monthly CAIDI";#N/A,#N/A,FALSE,"Yearly CAIDI";#N/A,#N/A,FALSE,"Monthly SAIDI";#N/A,#N/A,FALSE,"Yearly SAIDI";#N/A,#N/A,FALSE,"Monthly MAIFI";#N/A,#N/A,FALSE,"Yearly MAIFI";#N/A,#N/A,FALSE,"Monthly Cust &gt;=4 Int"}</definedName>
    <definedName name="sdf" localSheetId="3"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1" hidden="1">{#N/A,#N/A,FALSE,"Monthly SAIFI";#N/A,#N/A,FALSE,"Yearly SAIFI";#N/A,#N/A,FALSE,"Monthly CAIDI";#N/A,#N/A,FALSE,"Yearly CAIDI";#N/A,#N/A,FALSE,"Monthly SAIDI";#N/A,#N/A,FALSE,"Yearly SAIDI";#N/A,#N/A,FALSE,"Monthly MAIFI";#N/A,#N/A,FALSE,"Yearly MAIFI";#N/A,#N/A,FALSE,"Monthly Cust &gt;=4 Int"}</definedName>
    <definedName name="sdfaadfasdfasdaasdfsdf" localSheetId="24" hidden="1">{#N/A,#N/A,FALSE,"Monthly SAIFI";#N/A,#N/A,FALSE,"Yearly SAIFI";#N/A,#N/A,FALSE,"Monthly CAIDI";#N/A,#N/A,FALSE,"Yearly CAIDI";#N/A,#N/A,FALSE,"Monthly SAIDI";#N/A,#N/A,FALSE,"Yearly SAIDI";#N/A,#N/A,FALSE,"Monthly MAIFI";#N/A,#N/A,FALSE,"Yearly MAIFI";#N/A,#N/A,FALSE,"Monthly Cust &gt;=4 Int"}</definedName>
    <definedName name="sdfaadfasdfasdaasdfsdf" localSheetId="3"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1" hidden="1">{#N/A,#N/A,FALSE,"Monthly SAIFI";#N/A,#N/A,FALSE,"Yearly SAIFI";#N/A,#N/A,FALSE,"Monthly CAIDI";#N/A,#N/A,FALSE,"Yearly CAIDI";#N/A,#N/A,FALSE,"Monthly SAIDI";#N/A,#N/A,FALSE,"Yearly SAIDI";#N/A,#N/A,FALSE,"Monthly MAIFI";#N/A,#N/A,FALSE,"Yearly MAIFI";#N/A,#N/A,FALSE,"Monthly Cust &gt;=4 Int"}</definedName>
    <definedName name="sdfasdfasdfasdfasdfsdf" localSheetId="24" hidden="1">{#N/A,#N/A,FALSE,"Monthly SAIFI";#N/A,#N/A,FALSE,"Yearly SAIFI";#N/A,#N/A,FALSE,"Monthly CAIDI";#N/A,#N/A,FALSE,"Yearly CAIDI";#N/A,#N/A,FALSE,"Monthly SAIDI";#N/A,#N/A,FALSE,"Yearly SAIDI";#N/A,#N/A,FALSE,"Monthly MAIFI";#N/A,#N/A,FALSE,"Yearly MAIFI";#N/A,#N/A,FALSE,"Monthly Cust &gt;=4 Int"}</definedName>
    <definedName name="sdfasdfasdfasdfasdfsdf" localSheetId="3"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1" hidden="1">{#N/A,#N/A,FALSE,"Monthly SAIFI";#N/A,#N/A,FALSE,"Yearly SAIFI";#N/A,#N/A,FALSE,"Monthly CAIDI";#N/A,#N/A,FALSE,"Yearly CAIDI";#N/A,#N/A,FALSE,"Monthly SAIDI";#N/A,#N/A,FALSE,"Yearly SAIDI";#N/A,#N/A,FALSE,"Monthly MAIFI";#N/A,#N/A,FALSE,"Yearly MAIFI";#N/A,#N/A,FALSE,"Monthly Cust &gt;=4 Int"}</definedName>
    <definedName name="sdfds" localSheetId="24" hidden="1">{#N/A,#N/A,FALSE,"Monthly SAIFI";#N/A,#N/A,FALSE,"Yearly SAIFI";#N/A,#N/A,FALSE,"Monthly CAIDI";#N/A,#N/A,FALSE,"Yearly CAIDI";#N/A,#N/A,FALSE,"Monthly SAIDI";#N/A,#N/A,FALSE,"Yearly SAIDI";#N/A,#N/A,FALSE,"Monthly MAIFI";#N/A,#N/A,FALSE,"Yearly MAIFI";#N/A,#N/A,FALSE,"Monthly Cust &gt;=4 Int"}</definedName>
    <definedName name="sdfds" localSheetId="3"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1" hidden="1">{#N/A,#N/A,FALSE,"Monthly SAIFI";#N/A,#N/A,FALSE,"Yearly SAIFI";#N/A,#N/A,FALSE,"Monthly CAIDI";#N/A,#N/A,FALSE,"Yearly CAIDI";#N/A,#N/A,FALSE,"Monthly SAIDI";#N/A,#N/A,FALSE,"Yearly SAIDI";#N/A,#N/A,FALSE,"Monthly MAIFI";#N/A,#N/A,FALSE,"Yearly MAIFI";#N/A,#N/A,FALSE,"Monthly Cust &gt;=4 Int"}</definedName>
    <definedName name="sdfsdfsfsa" localSheetId="24" hidden="1">{#N/A,#N/A,FALSE,"Monthly SAIFI";#N/A,#N/A,FALSE,"Yearly SAIFI";#N/A,#N/A,FALSE,"Monthly CAIDI";#N/A,#N/A,FALSE,"Yearly CAIDI";#N/A,#N/A,FALSE,"Monthly SAIDI";#N/A,#N/A,FALSE,"Yearly SAIDI";#N/A,#N/A,FALSE,"Monthly MAIFI";#N/A,#N/A,FALSE,"Yearly MAIFI";#N/A,#N/A,FALSE,"Monthly Cust &gt;=4 Int"}</definedName>
    <definedName name="sdfsdfsfsa" localSheetId="3"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 localSheetId="3">#REF!</definedName>
    <definedName name="Securitization_Bonds">#REF!</definedName>
    <definedName name="Securitized_Bonds" localSheetId="3">#REF!</definedName>
    <definedName name="Securitized_Bonds">#REF!</definedName>
    <definedName name="Securitized_Bonds_CPM" localSheetId="3">#REF!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 localSheetId="15">#REF!</definedName>
    <definedName name="SEPT" localSheetId="16">#REF!</definedName>
    <definedName name="SEPT">#REF!</definedName>
    <definedName name="September09Billed" localSheetId="21" hidden="1">{#N/A,#N/A,FALSE,"Monthly SAIFI";#N/A,#N/A,FALSE,"Yearly SAIFI";#N/A,#N/A,FALSE,"Monthly CAIDI";#N/A,#N/A,FALSE,"Yearly CAIDI";#N/A,#N/A,FALSE,"Monthly SAIDI";#N/A,#N/A,FALSE,"Yearly SAIDI";#N/A,#N/A,FALSE,"Monthly MAIFI";#N/A,#N/A,FALSE,"Yearly MAIFI";#N/A,#N/A,FALSE,"Monthly Cust &gt;=4 Int"}</definedName>
    <definedName name="September09Billed" localSheetId="24" hidden="1">{#N/A,#N/A,FALSE,"Monthly SAIFI";#N/A,#N/A,FALSE,"Yearly SAIFI";#N/A,#N/A,FALSE,"Monthly CAIDI";#N/A,#N/A,FALSE,"Yearly CAIDI";#N/A,#N/A,FALSE,"Monthly SAIDI";#N/A,#N/A,FALSE,"Yearly SAIDI";#N/A,#N/A,FALSE,"Monthly MAIFI";#N/A,#N/A,FALSE,"Yearly MAIFI";#N/A,#N/A,FALSE,"Monthly Cust &gt;=4 Int"}</definedName>
    <definedName name="September09Billed" localSheetId="3"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6"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21" hidden="1">{#N/A,#N/A,FALSE,"Monthly SAIFI";#N/A,#N/A,FALSE,"Yearly SAIFI";#N/A,#N/A,FALSE,"Monthly CAIDI";#N/A,#N/A,FALSE,"Yearly CAIDI";#N/A,#N/A,FALSE,"Monthly SAIDI";#N/A,#N/A,FALSE,"Yearly SAIDI";#N/A,#N/A,FALSE,"Monthly MAIFI";#N/A,#N/A,FALSE,"Yearly MAIFI";#N/A,#N/A,FALSE,"Monthly Cust &gt;=4 Int"}</definedName>
    <definedName name="sffsfa" localSheetId="24" hidden="1">{#N/A,#N/A,FALSE,"Monthly SAIFI";#N/A,#N/A,FALSE,"Yearly SAIFI";#N/A,#N/A,FALSE,"Monthly CAIDI";#N/A,#N/A,FALSE,"Yearly CAIDI";#N/A,#N/A,FALSE,"Monthly SAIDI";#N/A,#N/A,FALSE,"Yearly SAIDI";#N/A,#N/A,FALSE,"Monthly MAIFI";#N/A,#N/A,FALSE,"Yearly MAIFI";#N/A,#N/A,FALSE,"Monthly Cust &gt;=4 Int"}</definedName>
    <definedName name="sffsfa" localSheetId="3"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1" hidden="1">{#N/A,#N/A,FALSE,"Monthly SAIFI";#N/A,#N/A,FALSE,"Yearly SAIFI";#N/A,#N/A,FALSE,"Monthly CAIDI";#N/A,#N/A,FALSE,"Yearly CAIDI";#N/A,#N/A,FALSE,"Monthly SAIDI";#N/A,#N/A,FALSE,"Yearly SAIDI";#N/A,#N/A,FALSE,"Monthly MAIFI";#N/A,#N/A,FALSE,"Yearly MAIFI";#N/A,#N/A,FALSE,"Monthly Cust &gt;=4 Int"}</definedName>
    <definedName name="SFSFD" localSheetId="24" hidden="1">{#N/A,#N/A,FALSE,"Monthly SAIFI";#N/A,#N/A,FALSE,"Yearly SAIFI";#N/A,#N/A,FALSE,"Monthly CAIDI";#N/A,#N/A,FALSE,"Yearly CAIDI";#N/A,#N/A,FALSE,"Monthly SAIDI";#N/A,#N/A,FALSE,"Yearly SAIDI";#N/A,#N/A,FALSE,"Monthly MAIFI";#N/A,#N/A,FALSE,"Yearly MAIFI";#N/A,#N/A,FALSE,"Monthly Cust &gt;=4 Int"}</definedName>
    <definedName name="SFSFD" localSheetId="3"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21" hidden="1">{#N/A,#N/A,FALSE,"Monthly SAIFI";#N/A,#N/A,FALSE,"Yearly SAIFI";#N/A,#N/A,FALSE,"Monthly CAIDI";#N/A,#N/A,FALSE,"Yearly CAIDI";#N/A,#N/A,FALSE,"Monthly SAIDI";#N/A,#N/A,FALSE,"Yearly SAIDI";#N/A,#N/A,FALSE,"Monthly MAIFI";#N/A,#N/A,FALSE,"Yearly MAIFI";#N/A,#N/A,FALSE,"Monthly Cust &gt;=4 Int"}</definedName>
    <definedName name="Sheet1" localSheetId="24" hidden="1">{#N/A,#N/A,FALSE,"Monthly SAIFI";#N/A,#N/A,FALSE,"Yearly SAIFI";#N/A,#N/A,FALSE,"Monthly CAIDI";#N/A,#N/A,FALSE,"Yearly CAIDI";#N/A,#N/A,FALSE,"Monthly SAIDI";#N/A,#N/A,FALSE,"Yearly SAIDI";#N/A,#N/A,FALSE,"Monthly MAIFI";#N/A,#N/A,FALSE,"Yearly MAIFI";#N/A,#N/A,FALSE,"Monthly Cust &gt;=4 Int"}</definedName>
    <definedName name="Sheet1" localSheetId="3"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24">Collapse_Columns</definedName>
    <definedName name="Sheet1NvsInstanceHook" localSheetId="3">Collapse_Columns</definedName>
    <definedName name="Sheet1NvsInstanceHook" localSheetId="13">Collapse_Columns</definedName>
    <definedName name="Sheet1NvsInstanceHook" localSheetId="15">Collapse_Columns</definedName>
    <definedName name="Sheet1NvsInstanceHook" localSheetId="16">Collapse_Columns</definedName>
    <definedName name="Sheet1NvsInstanceHook">Collapse_Columns</definedName>
    <definedName name="shit" localSheetId="24"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1" hidden="1">{#N/A,#N/A,FALSE,"O&amp;M by processes";#N/A,#N/A,FALSE,"Elec Act vs Bud";#N/A,#N/A,FALSE,"G&amp;A";#N/A,#N/A,FALSE,"BGS";#N/A,#N/A,FALSE,"Res Cost"}</definedName>
    <definedName name="shiva" localSheetId="24"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21" hidden="1">{#N/A,#N/A,FALSE,"Monthly SAIFI";#N/A,#N/A,FALSE,"Yearly SAIFI";#N/A,#N/A,FALSE,"Monthly CAIDI";#N/A,#N/A,FALSE,"Yearly CAIDI";#N/A,#N/A,FALSE,"Monthly SAIDI";#N/A,#N/A,FALSE,"Yearly SAIDI";#N/A,#N/A,FALSE,"Monthly MAIFI";#N/A,#N/A,FALSE,"Yearly MAIFI";#N/A,#N/A,FALSE,"Monthly Cust &gt;=4 Int"}</definedName>
    <definedName name="slldk" localSheetId="24" hidden="1">{#N/A,#N/A,FALSE,"Monthly SAIFI";#N/A,#N/A,FALSE,"Yearly SAIFI";#N/A,#N/A,FALSE,"Monthly CAIDI";#N/A,#N/A,FALSE,"Yearly CAIDI";#N/A,#N/A,FALSE,"Monthly SAIDI";#N/A,#N/A,FALSE,"Yearly SAIDI";#N/A,#N/A,FALSE,"Monthly MAIFI";#N/A,#N/A,FALSE,"Yearly MAIFI";#N/A,#N/A,FALSE,"Monthly Cust &gt;=4 Int"}</definedName>
    <definedName name="slldk" localSheetId="3"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1" hidden="1">#REF!</definedName>
    <definedName name="solver_opt" localSheetId="15" hidden="1">#REF!</definedName>
    <definedName name="solver_opt" localSheetId="14" hidden="1">#REF!</definedName>
    <definedName name="solver_opt" localSheetId="20" hidden="1">#REF!</definedName>
    <definedName name="solver_opt" hidden="1">#REF!</definedName>
    <definedName name="solver_typ" hidden="1">1</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24">{"'Metretek HTML'!$A$7:$W$42"}</definedName>
    <definedName name="ssssssssss" localSheetId="3">{"'Metretek HTML'!$A$7:$W$42"}</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 localSheetId="3">#REF!</definedName>
    <definedName name="StateDef" localSheetId="15">#REF!</definedName>
    <definedName name="StateDef" localSheetId="16">#REF!</definedName>
    <definedName name="StateDef">#REF!</definedName>
    <definedName name="stats">#REF!</definedName>
    <definedName name="statsrevised" localSheetId="21" hidden="1">{#N/A,#N/A,FALSE,"O&amp;M by processes";#N/A,#N/A,FALSE,"Elec Act vs Bud";#N/A,#N/A,FALSE,"G&amp;A";#N/A,#N/A,FALSE,"BGS";#N/A,#N/A,FALSE,"Res Cost"}</definedName>
    <definedName name="statsrevised" localSheetId="24"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 localSheetId="3">#REF!</definedName>
    <definedName name="STnabri" localSheetId="15">#REF!</definedName>
    <definedName name="STnabri" localSheetId="16">#REF!</definedName>
    <definedName name="STnabri">#REF!</definedName>
    <definedName name="Stor2003" localSheetId="15">#REF!</definedName>
    <definedName name="Stor2003" localSheetId="16">#REF!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 localSheetId="3">#REF!</definedName>
    <definedName name="strat1">#REF!</definedName>
    <definedName name="STsai" localSheetId="3">#REF!</definedName>
    <definedName name="STsai">#REF!</definedName>
    <definedName name="STscorp" localSheetId="3">#REF!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 localSheetId="3">#REF!</definedName>
    <definedName name="Subtotal_Equity">#REF!</definedName>
    <definedName name="Subtotal_Funds_from_Operations" localSheetId="3">#REF!</definedName>
    <definedName name="Subtotal_Funds_from_Operations">#REF!</definedName>
    <definedName name="Subtotal_Funds_from_Operations_CPM" localSheetId="3">#REF!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21" hidden="1">{#N/A,#N/A,FALSE,"O&amp;M by processes";#N/A,#N/A,FALSE,"Elec Act vs Bud";#N/A,#N/A,FALSE,"G&amp;A";#N/A,#N/A,FALSE,"BGS";#N/A,#N/A,FALSE,"Res Cost"}</definedName>
    <definedName name="support" localSheetId="24"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1" hidden="1">{#N/A,#N/A,FALSE,"O&amp;M by processes";#N/A,#N/A,FALSE,"Elec Act vs Bud";#N/A,#N/A,FALSE,"G&amp;A";#N/A,#N/A,FALSE,"BGS";#N/A,#N/A,FALSE,"Res Cost"}</definedName>
    <definedName name="supporti" localSheetId="24"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 localSheetId="3">#REF!</definedName>
    <definedName name="Synfuel_Gain__Loss__CPM">#REF!</definedName>
    <definedName name="sysOpImprov">[48]Input!#REF!</definedName>
    <definedName name="sysOpYears">[48]Input!#REF!</definedName>
    <definedName name="t_and_d_exp">'[37]Input Page'!#REF!</definedName>
    <definedName name="TABLE" localSheetId="3">#REF!</definedName>
    <definedName name="TABLE">#REF!</definedName>
    <definedName name="TABLE_A" localSheetId="3">#REF!</definedName>
    <definedName name="TABLE_A">#REF!</definedName>
    <definedName name="TABLE_A2" localSheetId="3">#REF!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 localSheetId="3">#REF!</definedName>
    <definedName name="Tax_Credits_CPM">#REF!</definedName>
    <definedName name="Tax_Rate" localSheetId="3">#REF!</definedName>
    <definedName name="Tax_Rate">#REF!</definedName>
    <definedName name="Tax1997b" localSheetId="3">#REF!</definedName>
    <definedName name="Tax1997b">#REF!</definedName>
    <definedName name="TAXES">#REF!</definedName>
    <definedName name="Taxrate">'[91]Case study '!$C$28</definedName>
    <definedName name="TAXREMOV" localSheetId="3">#REF!</definedName>
    <definedName name="TAXREMOV" localSheetId="15">#REF!</definedName>
    <definedName name="TAXREMOV" localSheetId="16">#REF!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 localSheetId="3">#REF!</definedName>
    <definedName name="TEFA">#REF!</definedName>
    <definedName name="Temp_Investment___Affiliate" localSheetId="3">#REF!</definedName>
    <definedName name="Temp_Investment___Affiliate">#REF!</definedName>
    <definedName name="TEN">#N/A</definedName>
    <definedName name="TEQ">'[26]C. Input'!$F$277</definedName>
    <definedName name="TEST" localSheetId="21" hidden="1">{#N/A,#N/A,FALSE,"EMPPAY"}</definedName>
    <definedName name="test" localSheetId="24">{"'Metretek HTML'!$A$7:$W$42"}</definedName>
    <definedName name="test" localSheetId="3">{"'Metretek HTML'!$A$7:$W$42"}</definedName>
    <definedName name="TEST" localSheetId="15" hidden="1">{#N/A,#N/A,FALSE,"EMPPAY"}</definedName>
    <definedName name="test" localSheetId="16">{"'Metretek HTML'!$A$7:$W$42"}</definedName>
    <definedName name="TEST" localSheetId="14" hidden="1">{#N/A,#N/A,FALSE,"EMPPAY"}</definedName>
    <definedName name="TEST" localSheetId="19" hidden="1">{#N/A,#N/A,FALSE,"EMPPAY"}</definedName>
    <definedName name="TEST" localSheetId="20" hidden="1">{#N/A,#N/A,FALSE,"EMPPAY"}</definedName>
    <definedName name="test">{"'Metretek HTML'!$A$7:$W$42"}</definedName>
    <definedName name="TEST0">#REF!</definedName>
    <definedName name="TEST1">#REF!</definedName>
    <definedName name="test10" localSheetId="24" hidden="1">{"LBO Summary",#N/A,FALSE,"Summary";"Income Statement",#N/A,FALSE,"Model";"Cash Flow",#N/A,FALSE,"Model";"Balance Sheet",#N/A,FALSE,"Model";"Working Capital",#N/A,FALSE,"Model";"Pro Forma Balance Sheets",#N/A,FALSE,"PFBS";"Debt Balances",#N/A,FALSE,"Model";"Fee Schedules",#N/A,FALSE,"Model"}</definedName>
    <definedName name="test10" localSheetId="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4" hidden="1">{"LBO Summary",#N/A,FALSE,"Summary"}</definedName>
    <definedName name="test11" localSheetId="3" hidden="1">{"LBO Summary",#N/A,FALSE,"Summary"}</definedName>
    <definedName name="test11" hidden="1">{"LBO Summary",#N/A,FALSE,"Summary"}</definedName>
    <definedName name="test12" localSheetId="24" hidden="1">{"assumptions",#N/A,FALSE,"Scenario 1";"valuation",#N/A,FALSE,"Scenario 1"}</definedName>
    <definedName name="test12" localSheetId="3" hidden="1">{"assumptions",#N/A,FALSE,"Scenario 1";"valuation",#N/A,FALSE,"Scenario 1"}</definedName>
    <definedName name="test12" hidden="1">{"assumptions",#N/A,FALSE,"Scenario 1";"valuation",#N/A,FALSE,"Scenario 1"}</definedName>
    <definedName name="test13" localSheetId="24" hidden="1">{"LBO Summary",#N/A,FALSE,"Summary"}</definedName>
    <definedName name="test13" localSheetId="3" hidden="1">{"LBO Summary",#N/A,FALSE,"Summary"}</definedName>
    <definedName name="test13" hidden="1">{"LBO Summary",#N/A,FALSE,"Summary"}</definedName>
    <definedName name="test14" localSheetId="24" hidden="1">{"LBO Summary",#N/A,FALSE,"Summary";"Income Statement",#N/A,FALSE,"Model";"Cash Flow",#N/A,FALSE,"Model";"Balance Sheet",#N/A,FALSE,"Model";"Working Capital",#N/A,FALSE,"Model";"Pro Forma Balance Sheets",#N/A,FALSE,"PFBS";"Debt Balances",#N/A,FALSE,"Model";"Fee Schedules",#N/A,FALSE,"Model"}</definedName>
    <definedName name="test14" localSheetId="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4" hidden="1">{"LBO Summary",#N/A,FALSE,"Summary";"Income Statement",#N/A,FALSE,"Model";"Cash Flow",#N/A,FALSE,"Model";"Balance Sheet",#N/A,FALSE,"Model";"Working Capital",#N/A,FALSE,"Model";"Pro Forma Balance Sheets",#N/A,FALSE,"PFBS";"Debt Balances",#N/A,FALSE,"Model";"Fee Schedules",#N/A,FALSE,"Model"}</definedName>
    <definedName name="test15" localSheetId="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4" hidden="1">{"LBO Summary",#N/A,FALSE,"Summary";"Income Statement",#N/A,FALSE,"Model";"Cash Flow",#N/A,FALSE,"Model";"Balance Sheet",#N/A,FALSE,"Model";"Working Capital",#N/A,FALSE,"Model";"Pro Forma Balance Sheets",#N/A,FALSE,"PFBS";"Debt Balances",#N/A,FALSE,"Model";"Fee Schedules",#N/A,FALSE,"Model"}</definedName>
    <definedName name="test16" localSheetId="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 localSheetId="3">#REF!</definedName>
    <definedName name="TESTKEYS">#REF!</definedName>
    <definedName name="TESTVKEY" localSheetId="3">#REF!</definedName>
    <definedName name="TESTVKEY">#REF!</definedName>
    <definedName name="TEXT" localSheetId="24">{"'Metretek HTML'!$A$7:$W$42"}</definedName>
    <definedName name="TEXT" localSheetId="3">{"'Metretek HTML'!$A$7:$W$42"}</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 localSheetId="3">#REF!</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1" hidden="1">{#N/A,#N/A,FALSE,"O&amp;M by processes";#N/A,#N/A,FALSE,"Elec Act vs Bud";#N/A,#N/A,FALSE,"G&amp;A";#N/A,#N/A,FALSE,"BGS";#N/A,#N/A,FALSE,"Res Cost"}</definedName>
    <definedName name="toma" localSheetId="24"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24"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24"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24"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24"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24"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24"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 localSheetId="3">#REF!</definedName>
    <definedName name="total">#REF!</definedName>
    <definedName name="Total_Assets" localSheetId="3">#REF!</definedName>
    <definedName name="Total_Assets">#REF!</definedName>
    <definedName name="Total_Assets_CPM" localSheetId="3">#REF!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 localSheetId="3">#REF!</definedName>
    <definedName name="Total_Non_Utility_Expenditures">#REF!</definedName>
    <definedName name="Total_Operating_Revenues" localSheetId="3">#REF!</definedName>
    <definedName name="Total_Operating_Revenues">#REF!</definedName>
    <definedName name="Total_Other_Assets" localSheetId="3">#REF!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21" hidden="1">"S:\74639\03RET\(417) 2004 Cost Projection\"</definedName>
    <definedName name="TP_Footer_Path" localSheetId="15" hidden="1">"S:\74639\03RET\(417) 2004 Cost Projection\"</definedName>
    <definedName name="TP_Footer_Path" localSheetId="14" hidden="1">"S:\74639\03RET\(417) 2004 Cost Projection\"</definedName>
    <definedName name="TP_Footer_Path" localSheetId="19" hidden="1">"S:\74639\03RET\(417) 2004 Cost Projection\"</definedName>
    <definedName name="TP_Footer_Path" localSheetId="20" hidden="1">"S:\74639\03RET\(417) 2004 Cost Projection\"</definedName>
    <definedName name="TP_Footer_Path">"S:\04291\05ret\othsys\team\disclosure\"</definedName>
    <definedName name="TP_Footer_Path1" hidden="1">"S:\74639\03RET\(852) Pension Val - OOS\Contribution Allocations\"</definedName>
    <definedName name="TP_Footer_User" localSheetId="21" hidden="1">"Mary Lou Barrios"</definedName>
    <definedName name="TP_Footer_User" localSheetId="15" hidden="1">"Mary Lou Barrios"</definedName>
    <definedName name="TP_Footer_User" localSheetId="14" hidden="1">"Mary Lou Barrios"</definedName>
    <definedName name="TP_Footer_User" localSheetId="19" hidden="1">"Mary Lou Barrios"</definedName>
    <definedName name="TP_Footer_User" localSheetId="20"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 localSheetId="3">#REF!</definedName>
    <definedName name="Trading___Mkting_Growth_YR_2003">#REF!</definedName>
    <definedName name="Trading___Mkting_Growth_YR_2004" localSheetId="3">#REF!</definedName>
    <definedName name="Trading___Mkting_Growth_YR_2004">#REF!</definedName>
    <definedName name="Trading___Mkting_Growth_YR_2005" localSheetId="3">#REF!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 localSheetId="3">#REF!</definedName>
    <definedName name="TRWP_43">#REF!</definedName>
    <definedName name="TRWP16" localSheetId="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1" hidden="1">{#N/A,#N/A,FALSE,"Monthly SAIFI";#N/A,#N/A,FALSE,"Yearly SAIFI";#N/A,#N/A,FALSE,"Monthly CAIDI";#N/A,#N/A,FALSE,"Yearly CAIDI";#N/A,#N/A,FALSE,"Monthly SAIDI";#N/A,#N/A,FALSE,"Yearly SAIDI";#N/A,#N/A,FALSE,"Monthly MAIFI";#N/A,#N/A,FALSE,"Yearly MAIFI";#N/A,#N/A,FALSE,"Monthly Cust &gt;=4 Int"}</definedName>
    <definedName name="tyty" localSheetId="24" hidden="1">{#N/A,#N/A,FALSE,"Monthly SAIFI";#N/A,#N/A,FALSE,"Yearly SAIFI";#N/A,#N/A,FALSE,"Monthly CAIDI";#N/A,#N/A,FALSE,"Yearly CAIDI";#N/A,#N/A,FALSE,"Monthly SAIDI";#N/A,#N/A,FALSE,"Yearly SAIDI";#N/A,#N/A,FALSE,"Monthly MAIFI";#N/A,#N/A,FALSE,"Yearly MAIFI";#N/A,#N/A,FALSE,"Monthly Cust &gt;=4 Int"}</definedName>
    <definedName name="tyty" localSheetId="3"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 localSheetId="3">#REF!</definedName>
    <definedName name="UTIL">#REF!</definedName>
    <definedName name="Utility_Plant_Expenditures" localSheetId="3">#REF!</definedName>
    <definedName name="Utility_Plant_Expenditures">#REF!</definedName>
    <definedName name="Utility_Plant_Retirements__input" localSheetId="3">#REF!</definedName>
    <definedName name="Utility_Plant_Retirements__input">#REF!</definedName>
    <definedName name="UTILRANGE">#REF!</definedName>
    <definedName name="v">[94]Cover!$A$9</definedName>
    <definedName name="valDate">[46]Inputs!$B$1</definedName>
    <definedName name="Value" localSheetId="24" hidden="1">{"assumptions",#N/A,FALSE,"Scenario 1";"valuation",#N/A,FALSE,"Scenario 1"}</definedName>
    <definedName name="Value" localSheetId="3" hidden="1">{"assumptions",#N/A,FALSE,"Scenario 1";"valuation",#N/A,FALSE,"Scenario 1"}</definedName>
    <definedName name="Value" hidden="1">{"assumptions",#N/A,FALSE,"Scenario 1";"valuation",#N/A,FALSE,"Scenario 1"}</definedName>
    <definedName name="vcbcvbcv" localSheetId="21" hidden="1">{#N/A,#N/A,FALSE,"Monthly SAIFI";#N/A,#N/A,FALSE,"Yearly SAIFI";#N/A,#N/A,FALSE,"Monthly CAIDI";#N/A,#N/A,FALSE,"Yearly CAIDI";#N/A,#N/A,FALSE,"Monthly SAIDI";#N/A,#N/A,FALSE,"Yearly SAIDI";#N/A,#N/A,FALSE,"Monthly MAIFI";#N/A,#N/A,FALSE,"Yearly MAIFI";#N/A,#N/A,FALSE,"Monthly Cust &gt;=4 Int"}</definedName>
    <definedName name="vcbcvbcv" localSheetId="24" hidden="1">{#N/A,#N/A,FALSE,"Monthly SAIFI";#N/A,#N/A,FALSE,"Yearly SAIFI";#N/A,#N/A,FALSE,"Monthly CAIDI";#N/A,#N/A,FALSE,"Yearly CAIDI";#N/A,#N/A,FALSE,"Monthly SAIDI";#N/A,#N/A,FALSE,"Yearly SAIDI";#N/A,#N/A,FALSE,"Monthly MAIFI";#N/A,#N/A,FALSE,"Yearly MAIFI";#N/A,#N/A,FALSE,"Monthly Cust &gt;=4 Int"}</definedName>
    <definedName name="vcbcvbcv" localSheetId="3"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1" hidden="1">"a1"</definedName>
    <definedName name="Version" localSheetId="15" hidden="1">"a1"</definedName>
    <definedName name="Version" localSheetId="14" hidden="1">"a1"</definedName>
    <definedName name="Version" localSheetId="19" hidden="1">"a1"</definedName>
    <definedName name="Version" localSheetId="20"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 localSheetId="24">{"'Metretek HTML'!$A$7:$W$42"}</definedName>
    <definedName name="we" localSheetId="3">{"'Metretek HTML'!$A$7:$W$42"}</definedName>
    <definedName name="we" localSheetId="15">{"'Metretek HTML'!$A$7:$W$42"}</definedName>
    <definedName name="we" localSheetId="16">{"'Metretek HTML'!$A$7:$W$42"}</definedName>
    <definedName name="we">{"'Metretek HTML'!$A$7:$W$42"}</definedName>
    <definedName name="WELL_HEAD_ESTIMATES">#REF!</definedName>
    <definedName name="wer" localSheetId="21" hidden="1">{#N/A,#N/A,FALSE,"Monthly SAIFI";#N/A,#N/A,FALSE,"Yearly SAIFI";#N/A,#N/A,FALSE,"Monthly CAIDI";#N/A,#N/A,FALSE,"Yearly CAIDI";#N/A,#N/A,FALSE,"Monthly SAIDI";#N/A,#N/A,FALSE,"Yearly SAIDI";#N/A,#N/A,FALSE,"Monthly MAIFI";#N/A,#N/A,FALSE,"Yearly MAIFI";#N/A,#N/A,FALSE,"Monthly Cust &gt;=4 Int"}</definedName>
    <definedName name="wer" localSheetId="24" hidden="1">{#N/A,#N/A,FALSE,"Monthly SAIFI";#N/A,#N/A,FALSE,"Yearly SAIFI";#N/A,#N/A,FALSE,"Monthly CAIDI";#N/A,#N/A,FALSE,"Yearly CAIDI";#N/A,#N/A,FALSE,"Monthly SAIDI";#N/A,#N/A,FALSE,"Yearly SAIDI";#N/A,#N/A,FALSE,"Monthly MAIFI";#N/A,#N/A,FALSE,"Yearly MAIFI";#N/A,#N/A,FALSE,"Monthly Cust &gt;=4 Int"}</definedName>
    <definedName name="wer" localSheetId="3"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1" hidden="1">{#N/A,#N/A,FALSE,"O&amp;M by processes";#N/A,#N/A,FALSE,"Elec Act vs Bud";#N/A,#N/A,FALSE,"G&amp;A";#N/A,#N/A,FALSE,"BGS";#N/A,#N/A,FALSE,"Res Cost"}</definedName>
    <definedName name="wh" localSheetId="24" hidden="1">{#N/A,#N/A,FALSE,"O&amp;M by processes";#N/A,#N/A,FALSE,"Elec Act vs Bud";#N/A,#N/A,FALSE,"G&amp;A";#N/A,#N/A,FALSE,"BGS";#N/A,#N/A,FALSE,"Res Cost"}</definedName>
    <definedName name="wh" localSheetId="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24"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24"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24"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24"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24"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24"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 localSheetId="3">#REF!</definedName>
    <definedName name="Work_Performed_report" localSheetId="15">#REF!</definedName>
    <definedName name="Work_Performed_report" localSheetId="16">#REF!</definedName>
    <definedName name="Work_Performed_report">#REF!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1" hidden="1">{#N/A,#N/A,FALSE,"O&amp;M by processes";#N/A,#N/A,FALSE,"Elec Act vs Bud";#N/A,#N/A,FALSE,"G&amp;A";#N/A,#N/A,FALSE,"BGS";#N/A,#N/A,FALSE,"Res Cost"}</definedName>
    <definedName name="wrn" localSheetId="24"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1" hidden="1">{#N/A,#N/A,FALSE,"CURRENT"}</definedName>
    <definedName name="wrn.722." localSheetId="24" hidden="1">{#N/A,#N/A,FALSE,"CURRENT"}</definedName>
    <definedName name="wrn.722." localSheetId="3" hidden="1">{#N/A,#N/A,FALSE,"CURRENT"}</definedName>
    <definedName name="wrn.722." localSheetId="15" hidden="1">{#N/A,#N/A,FALSE,"CURRENT"}</definedName>
    <definedName name="wrn.722." localSheetId="16" hidden="1">{#N/A,#N/A,FALSE,"CURRENT"}</definedName>
    <definedName name="wrn.722." localSheetId="14" hidden="1">{#N/A,#N/A,FALSE,"CURRENT"}</definedName>
    <definedName name="wrn.722." localSheetId="19" hidden="1">{#N/A,#N/A,FALSE,"CURRENT"}</definedName>
    <definedName name="wrn.722." localSheetId="20" hidden="1">{#N/A,#N/A,FALSE,"CURRENT"}</definedName>
    <definedName name="wrn.722." hidden="1">{#N/A,#N/A,FALSE,"CURRENT"}</definedName>
    <definedName name="wrn.Aging._.and._.Trend._.Analysis." localSheetId="24"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1" hidden="1">{"AGT",#N/A,FALSE,"Revenue"}</definedName>
    <definedName name="wrn.AGT." localSheetId="24" hidden="1">{"AGT",#N/A,FALSE,"Revenue"}</definedName>
    <definedName name="wrn.AGT." localSheetId="3" hidden="1">{"AGT",#N/A,FALSE,"Revenue"}</definedName>
    <definedName name="wrn.AGT." localSheetId="15" hidden="1">{"AGT",#N/A,FALSE,"Revenue"}</definedName>
    <definedName name="wrn.AGT." localSheetId="16" hidden="1">{"AGT",#N/A,FALSE,"Revenue"}</definedName>
    <definedName name="wrn.AGT." localSheetId="14" hidden="1">{"AGT",#N/A,FALSE,"Revenue"}</definedName>
    <definedName name="wrn.AGT." localSheetId="19" hidden="1">{"AGT",#N/A,FALSE,"Revenue"}</definedName>
    <definedName name="wrn.AGT." localSheetId="20" hidden="1">{"AGT",#N/A,FALSE,"Revenue"}</definedName>
    <definedName name="wrn.AGT." hidden="1">{"AGT",#N/A,FALSE,"Revenue"}</definedName>
    <definedName name="wrn.All._.Pages." localSheetId="24"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4" hidden="1">{#N/A,#N/A,FALSE,"LOCAL.XLS"}</definedName>
    <definedName name="wrn.ARKANSAS." localSheetId="3" hidden="1">{#N/A,#N/A,FALSE,"LOCAL.XLS"}</definedName>
    <definedName name="wrn.ARKANSAS." hidden="1">{#N/A,#N/A,FALSE,"LOCAL.XLS"}</definedName>
    <definedName name="wrn.ARREC." localSheetId="21" hidden="1">{#N/A,#N/A,FALSE,"ARREC"}</definedName>
    <definedName name="wrn.ARREC." localSheetId="24" hidden="1">{#N/A,#N/A,FALSE,"ARREC"}</definedName>
    <definedName name="wrn.ARREC." localSheetId="3" hidden="1">{#N/A,#N/A,FALSE,"ARREC"}</definedName>
    <definedName name="wrn.ARREC." localSheetId="15" hidden="1">{#N/A,#N/A,FALSE,"ARREC"}</definedName>
    <definedName name="wrn.ARREC." localSheetId="16" hidden="1">{#N/A,#N/A,FALSE,"ARREC"}</definedName>
    <definedName name="wrn.ARREC." localSheetId="14" hidden="1">{#N/A,#N/A,FALSE,"ARREC"}</definedName>
    <definedName name="wrn.ARREC." hidden="1">{#N/A,#N/A,FALSE,"ARREC"}</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1" hidden="1">{#N/A,#N/A,FALSE,"O&amp;M by processes";#N/A,#N/A,FALSE,"Elec Act vs Bud";#N/A,#N/A,FALSE,"G&amp;A";#N/A,#N/A,FALSE,"BGS";#N/A,#N/A,FALSE,"Res Cost"}</definedName>
    <definedName name="wrn.Basic." localSheetId="24"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1" hidden="1">{#N/A,#N/A,FALSE,"Elec Deliv";#N/A,#N/A,FALSE,"Atlantic Pie";#N/A,#N/A,FALSE,"Bay Pie";#N/A,#N/A,FALSE,"New Castle Pie";#N/A,#N/A,FALSE,"Transmission Pie"}</definedName>
    <definedName name="wrn.ChartSet." localSheetId="24"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1" hidden="1">{"Retail CP pg1",#N/A,FALSE,"FACTOR3";"Retail CP pg2",#N/A,FALSE,"FACTOR3";"Retail CP pg3",#N/A,FALSE,"FACTOR3"}</definedName>
    <definedName name="wrn.CP._.Demand." localSheetId="24" hidden="1">{"Retail CP pg1",#N/A,FALSE,"FACTOR3";"Retail CP pg2",#N/A,FALSE,"FACTOR3";"Retail CP pg3",#N/A,FALSE,"FACTOR3"}</definedName>
    <definedName name="wrn.CP._.Demand." localSheetId="3"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14" hidden="1">{"Retail CP pg1",#N/A,FALSE,"FACTOR3";"Retail CP pg2",#N/A,FALSE,"FACTOR3";"Retail CP pg3",#N/A,FALSE,"FACTOR3"}</definedName>
    <definedName name="wrn.CP._.Demand."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24" hidden="1">{"Retail CP pg1",#N/A,FALSE,"FACTOR3";"Retail CP pg2",#N/A,FALSE,"FACTOR3";"Retail CP pg3",#N/A,FALSE,"FACTOR3"}</definedName>
    <definedName name="wrn.CP._.Demand2." localSheetId="3"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14" hidden="1">{"Retail CP pg1",#N/A,FALSE,"FACTOR3";"Retail CP pg2",#N/A,FALSE,"FACTOR3";"Retail CP pg3",#N/A,FALSE,"FACTOR3"}</definedName>
    <definedName name="wrn.CP._.Demand2." hidden="1">{"Retail CP pg1",#N/A,FALSE,"FACTOR3";"Retail CP pg2",#N/A,FALSE,"FACTOR3";"Retail CP pg3",#N/A,FALSE,"FACTOR3"}</definedName>
    <definedName name="wrn.Data._.dump." localSheetId="21" hidden="1">{"Input Data",#N/A,FALSE,"Input";"Income and Cash Flow",#N/A,FALSE,"Calculations"}</definedName>
    <definedName name="wrn.Data._.dump." localSheetId="24" hidden="1">{"Input Data",#N/A,FALSE,"Input";"Income and Cash Flow",#N/A,FALSE,"Calculations"}</definedName>
    <definedName name="wrn.Data._.dump." localSheetId="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4"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24"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1" hidden="1">{#N/A,#N/A,FALSE,"EMPPAY"}</definedName>
    <definedName name="wrn.EMPPAY." localSheetId="24" hidden="1">{#N/A,#N/A,FALSE,"EMPPAY"}</definedName>
    <definedName name="wrn.EMPPAY." localSheetId="3" hidden="1">{#N/A,#N/A,FALSE,"EMPPAY"}</definedName>
    <definedName name="wrn.EMPPAY." localSheetId="15" hidden="1">{#N/A,#N/A,FALSE,"EMPPAY"}</definedName>
    <definedName name="wrn.EMPPAY." localSheetId="16" hidden="1">{#N/A,#N/A,FALSE,"EMPPAY"}</definedName>
    <definedName name="wrn.EMPPAY." localSheetId="14" hidden="1">{#N/A,#N/A,FALSE,"EMPPAY"}</definedName>
    <definedName name="wrn.EMPPAY." hidden="1">{#N/A,#N/A,FALSE,"EMPPAY"}</definedName>
    <definedName name="wrn.Factors._.Tab._.10." localSheetId="24"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1" hidden="1">{"Print Empty Template",#N/A,FALSE,"Input"}</definedName>
    <definedName name="wrn.For._.filling._.out._.assessments." localSheetId="24" hidden="1">{"Print Empty Template",#N/A,FALSE,"Input"}</definedName>
    <definedName name="wrn.For._.filling._.out._.assessments." localSheetId="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4"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24"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24" hidden="1">{"summary",#N/A,TRUE,"Coal Inventory Summary";"view 1",#N/A,TRUE,"Coal Inv. By Station";"view 2",#N/A,TRUE,"Coal inv by sta 2";"view 3",#N/A,TRUE,"Coal inv by sta 3";"oil",#N/A,TRUE,"Oil Purchases"}</definedName>
    <definedName name="wrn.inventory." localSheetId="3"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24" hidden="1">{"assumptions",#N/A,FALSE,"Scenario 1";"valuation",#N/A,FALSE,"Scenario 1"}</definedName>
    <definedName name="wrn.IPO._.Valuation." localSheetId="3" hidden="1">{"assumptions",#N/A,FALSE,"Scenario 1";"valuation",#N/A,FALSE,"Scenario 1"}</definedName>
    <definedName name="wrn.IPO._.Valuation." hidden="1">{"assumptions",#N/A,FALSE,"Scenario 1";"valuation",#N/A,FALSE,"Scenario 1"}</definedName>
    <definedName name="wrn.LBO._.Summary." localSheetId="24" hidden="1">{"LBO Summary",#N/A,FALSE,"Summary"}</definedName>
    <definedName name="wrn.LBO._.Summary." localSheetId="3" hidden="1">{"LBO Summary",#N/A,FALSE,"Summary"}</definedName>
    <definedName name="wrn.LBO._.Summary." hidden="1">{"LBO Summary",#N/A,FALSE,"Summary"}</definedName>
    <definedName name="wrn.LOUISIANA." localSheetId="24" hidden="1">{#N/A,#N/A,FALSE,"LOCAL.XLS"}</definedName>
    <definedName name="wrn.LOUISIANA." localSheetId="3" hidden="1">{#N/A,#N/A,FALSE,"LOCAL.XLS"}</definedName>
    <definedName name="wrn.LOUISIANA." hidden="1">{#N/A,#N/A,FALSE,"LOCAL.XLS"}</definedName>
    <definedName name="wrn.OR._.Carrying._.Charge._.JV." localSheetId="24"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4"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4" hidden="1">{"LBO Summary",#N/A,FALSE,"Summary";"Income Statement",#N/A,FALSE,"Model";"Cash Flow",#N/A,FALSE,"Model";"Balance Sheet",#N/A,FALSE,"Model";"Working Capital",#N/A,FALSE,"Model";"Pro Forma Balance Sheets",#N/A,FALSE,"PFBS";"Debt Balances",#N/A,FALSE,"Model";"Fee Schedules",#N/A,FALSE,"Model"}</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1" hidden="1">{#N/A,#N/A,FALSE,"Monthly SAIFI";#N/A,#N/A,FALSE,"Yearly SAIFI";#N/A,#N/A,FALSE,"Monthly CAIDI";#N/A,#N/A,FALSE,"Yearly CAIDI";#N/A,#N/A,FALSE,"Monthly SAIDI";#N/A,#N/A,FALSE,"Yearly SAIDI";#N/A,#N/A,FALSE,"Monthly MAIFI";#N/A,#N/A,FALSE,"Yearly MAIFI";#N/A,#N/A,FALSE,"Monthly Cust &gt;=4 Int"}</definedName>
    <definedName name="wrn.PrintAll." localSheetId="24" hidden="1">{#N/A,#N/A,FALSE,"Monthly SAIFI";#N/A,#N/A,FALSE,"Yearly SAIFI";#N/A,#N/A,FALSE,"Monthly CAIDI";#N/A,#N/A,FALSE,"Yearly CAIDI";#N/A,#N/A,FALSE,"Monthly SAIDI";#N/A,#N/A,FALSE,"Yearly SAIDI";#N/A,#N/A,FALSE,"Monthly MAIFI";#N/A,#N/A,FALSE,"Yearly MAIFI";#N/A,#N/A,FALSE,"Monthly Cust &gt;=4 Int"}</definedName>
    <definedName name="wrn.PrintAll." localSheetId="3"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24"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24" hidden="1">{"CM Dollars",#N/A,FALSE,"Rec Dollars";"YTD Dollars",#N/A,FALSE,"Rec Dollars";"CM Rec Stats",#N/A,FALSE,"Rec Dollars";"YTD Rec Stats",#N/A,FALSE,"Rec Dollars"}</definedName>
    <definedName name="wrn.Receipt._.Stats." localSheetId="3"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1" hidden="1">{#N/A,#N/A,FALSE,"Work performed";#N/A,#N/A,FALSE,"Resources"}</definedName>
    <definedName name="wrn.Report." localSheetId="24" hidden="1">{#N/A,#N/A,FALSE,"Work performed";#N/A,#N/A,FALSE,"Resources"}</definedName>
    <definedName name="wrn.Report." localSheetId="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4"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24"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4" hidden="1">{#N/A,#N/A,FALSE,"AP&amp;L"}</definedName>
    <definedName name="wrn.summary." localSheetId="3" hidden="1">{#N/A,#N/A,FALSE,"AP&amp;L"}</definedName>
    <definedName name="wrn.summary." hidden="1">{#N/A,#N/A,FALSE,"AP&amp;L"}</definedName>
    <definedName name="wrn.Supporting._.Calculations." localSheetId="21" hidden="1">{#N/A,#N/A,FALSE,"Work performed";#N/A,#N/A,FALSE,"Resources"}</definedName>
    <definedName name="wrn.Supporting._.Calculations." localSheetId="24" hidden="1">{#N/A,#N/A,FALSE,"Work performed";#N/A,#N/A,FALSE,"Resources"}</definedName>
    <definedName name="wrn.Supporting._.Calculations." localSheetId="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4"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21" hidden="1">{#N/A,#N/A,TRUE,"TAXPROV";#N/A,#N/A,TRUE,"FLOWTHRU";#N/A,#N/A,TRUE,"SCHEDULE M'S";#N/A,#N/A,TRUE,"PLANT M'S";#N/A,#N/A,TRUE,"TAXJE"}</definedName>
    <definedName name="wrn.Tax._.Accrual." localSheetId="24" hidden="1">{#N/A,#N/A,TRUE,"TAXPROV";#N/A,#N/A,TRUE,"FLOWTHRU";#N/A,#N/A,TRUE,"SCHEDULE M'S";#N/A,#N/A,TRUE,"PLANT M'S";#N/A,#N/A,TRUE,"TAXJE"}</definedName>
    <definedName name="wrn.Tax._.Accrual." localSheetId="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YearEnd." localSheetId="24"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'[93]MISO Cover'!$I$201</definedName>
    <definedName name="xa" localSheetId="24">{"'Metretek HTML'!$A$7:$W$42"}</definedName>
    <definedName name="xa" localSheetId="3">{"'Metretek HTML'!$A$7:$W$42"}</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24">{"'Metretek HTML'!$A$7:$W$42"}</definedName>
    <definedName name="xls" localSheetId="3">{"'Metretek HTML'!$A$7:$W$42"}</definedName>
    <definedName name="xls" localSheetId="15">{"'Metretek HTML'!$A$7:$W$42"}</definedName>
    <definedName name="xls" localSheetId="16">{"'Metretek HTML'!$A$7:$W$42"}</definedName>
    <definedName name="xls">{"'Metretek HTML'!$A$7:$W$42"}</definedName>
    <definedName name="XO" localSheetId="24">{"'Metretek HTML'!$A$7:$W$42"}</definedName>
    <definedName name="XO" localSheetId="3">{"'Metretek HTML'!$A$7:$W$42"}</definedName>
    <definedName name="XO" localSheetId="15">{"'Metretek HTML'!$A$7:$W$42"}</definedName>
    <definedName name="XO" localSheetId="16">{"'Metretek HTML'!$A$7:$W$42"}</definedName>
    <definedName name="XO">{"'Metretek HTML'!$A$7:$W$42"}</definedName>
    <definedName name="xs" localSheetId="24">{"'Metretek HTML'!$A$7:$W$42"}</definedName>
    <definedName name="xs" localSheetId="3">{"'Metretek HTML'!$A$7:$W$42"}</definedName>
    <definedName name="xs" localSheetId="15">{"'Metretek HTML'!$A$7:$W$42"}</definedName>
    <definedName name="xs" localSheetId="16">{"'Metretek HTML'!$A$7:$W$42"}</definedName>
    <definedName name="xs">{"'Metretek HTML'!$A$7:$W$42"}</definedName>
    <definedName name="xTc">'[97]PMG Annual'!#REF!</definedName>
    <definedName name="xx" localSheetId="21" hidden="1">{#N/A,#N/A,FALSE,"EMPPAY"}</definedName>
    <definedName name="xx" localSheetId="24">{"'Metretek HTML'!$A$7:$W$42"}</definedName>
    <definedName name="xx" localSheetId="3">{"'Metretek HTML'!$A$7:$W$42"}</definedName>
    <definedName name="xx" localSheetId="15" hidden="1">{#N/A,#N/A,FALSE,"EMPPAY"}</definedName>
    <definedName name="xx" localSheetId="16">{"'Metretek HTML'!$A$7:$W$42"}</definedName>
    <definedName name="xx" localSheetId="14" hidden="1">{#N/A,#N/A,FALSE,"EMPPAY"}</definedName>
    <definedName name="xx" localSheetId="19" hidden="1">{#N/A,#N/A,FALSE,"EMPPAY"}</definedName>
    <definedName name="xx" localSheetId="20" hidden="1">{#N/A,#N/A,FALSE,"EMPPAY"}</definedName>
    <definedName name="xx">{"'Metretek HTML'!$A$7:$W$42"}</definedName>
    <definedName name="xxx" localSheetId="21" hidden="1">{#N/A,#N/A,FALSE,"O&amp;M by processes";#N/A,#N/A,FALSE,"Elec Act vs Bud";#N/A,#N/A,FALSE,"G&amp;A";#N/A,#N/A,FALSE,"BGS";#N/A,#N/A,FALSE,"Res Cost"}</definedName>
    <definedName name="xxx" localSheetId="24"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24"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24">{"'Metretek HTML'!$A$7:$W$42"}</definedName>
    <definedName name="xxxxxxx" localSheetId="3">{"'Metretek HTML'!$A$7:$W$42"}</definedName>
    <definedName name="xxxxxxx" localSheetId="15">{"'Metretek HTML'!$A$7:$W$42"}</definedName>
    <definedName name="xxxxxxx" localSheetId="16">{"'Metretek HTML'!$A$7:$W$42"}</definedName>
    <definedName name="xxxxxxx">{"'Metretek HTML'!$A$7:$W$42"}</definedName>
    <definedName name="XXXXXXXXXXXXXX" localSheetId="24">{"'Metretek HTML'!$A$7:$W$42"}</definedName>
    <definedName name="XXXXXXXXXXXXXX" localSheetId="3">{"'Metretek HTML'!$A$7:$W$42"}</definedName>
    <definedName name="XXXXXXXXXXXXXX" localSheetId="15">{"'Metretek HTML'!$A$7:$W$42"}</definedName>
    <definedName name="XXXXXXXXXXXXXX" localSheetId="16">{"'Metretek HTML'!$A$7:$W$42"}</definedName>
    <definedName name="XXXXXXXXXXXXXX">{"'Metretek HTML'!$A$7:$W$42"}</definedName>
    <definedName name="xy" localSheetId="24">{"'Metretek HTML'!$A$7:$W$42"}</definedName>
    <definedName name="xy" localSheetId="3">{"'Metretek HTML'!$A$7:$W$42"}</definedName>
    <definedName name="xy" localSheetId="15">{"'Metretek HTML'!$A$7:$W$42"}</definedName>
    <definedName name="xy" localSheetId="16">{"'Metretek HTML'!$A$7:$W$42"}</definedName>
    <definedName name="xy">{"'Metretek HTML'!$A$7:$W$42"}</definedName>
    <definedName name="XZ" localSheetId="24">{"'Metretek HTML'!$A$7:$W$42"}</definedName>
    <definedName name="XZ" localSheetId="3">{"'Metretek HTML'!$A$7:$W$42"}</definedName>
    <definedName name="XZ" localSheetId="15">{"'Metretek HTML'!$A$7:$W$42"}</definedName>
    <definedName name="XZ" localSheetId="16">{"'Metretek HTML'!$A$7:$W$42"}</definedName>
    <definedName name="XZ">{"'Metretek HTML'!$A$7:$W$42"}</definedName>
    <definedName name="y" localSheetId="21" hidden="1">{#N/A,#N/A,FALSE,"Monthly SAIFI";#N/A,#N/A,FALSE,"Yearly SAIFI";#N/A,#N/A,FALSE,"Monthly CAIDI";#N/A,#N/A,FALSE,"Yearly CAIDI";#N/A,#N/A,FALSE,"Monthly SAIDI";#N/A,#N/A,FALSE,"Yearly SAIDI";#N/A,#N/A,FALSE,"Monthly MAIFI";#N/A,#N/A,FALSE,"Yearly MAIFI";#N/A,#N/A,FALSE,"Monthly Cust &gt;=4 Int"}</definedName>
    <definedName name="y" localSheetId="24" hidden="1">{#N/A,#N/A,FALSE,"Monthly SAIFI";#N/A,#N/A,FALSE,"Yearly SAIFI";#N/A,#N/A,FALSE,"Monthly CAIDI";#N/A,#N/A,FALSE,"Yearly CAIDI";#N/A,#N/A,FALSE,"Monthly SAIDI";#N/A,#N/A,FALSE,"Yearly SAIDI";#N/A,#N/A,FALSE,"Monthly MAIFI";#N/A,#N/A,FALSE,"Yearly MAIFI";#N/A,#N/A,FALSE,"Monthly Cust &gt;=4 Int"}</definedName>
    <definedName name="y" localSheetId="3"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 localSheetId="3">#REF!</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1" hidden="1">{#N/A,#N/A,FALSE,"Monthly SAIFI";#N/A,#N/A,FALSE,"Yearly SAIFI";#N/A,#N/A,FALSE,"Monthly CAIDI";#N/A,#N/A,FALSE,"Yearly CAIDI";#N/A,#N/A,FALSE,"Monthly SAIDI";#N/A,#N/A,FALSE,"Yearly SAIDI";#N/A,#N/A,FALSE,"Monthly MAIFI";#N/A,#N/A,FALSE,"Yearly MAIFI";#N/A,#N/A,FALSE,"Monthly Cust &gt;=4 Int"}</definedName>
    <definedName name="yryryrr" localSheetId="24" hidden="1">{#N/A,#N/A,FALSE,"Monthly SAIFI";#N/A,#N/A,FALSE,"Yearly SAIFI";#N/A,#N/A,FALSE,"Monthly CAIDI";#N/A,#N/A,FALSE,"Yearly CAIDI";#N/A,#N/A,FALSE,"Monthly SAIDI";#N/A,#N/A,FALSE,"Yearly SAIDI";#N/A,#N/A,FALSE,"Monthly MAIFI";#N/A,#N/A,FALSE,"Yearly MAIFI";#N/A,#N/A,FALSE,"Monthly Cust &gt;=4 Int"}</definedName>
    <definedName name="yryryrr" localSheetId="3"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24">{"'Metretek HTML'!$A$7:$W$42"}</definedName>
    <definedName name="yy" localSheetId="3">{"'Metretek HTML'!$A$7:$W$42"}</definedName>
    <definedName name="yy" localSheetId="15">{"'Metretek HTML'!$A$7:$W$42"}</definedName>
    <definedName name="yy" localSheetId="16">{"'Metretek HTML'!$A$7:$W$42"}</definedName>
    <definedName name="yy">{"'Metretek HTML'!$A$7:$W$42"}</definedName>
    <definedName name="z" localSheetId="21" hidden="1">{#N/A,#N/A,FALSE,"Monthly SAIFI";#N/A,#N/A,FALSE,"Yearly SAIFI";#N/A,#N/A,FALSE,"Monthly CAIDI";#N/A,#N/A,FALSE,"Yearly CAIDI";#N/A,#N/A,FALSE,"Monthly SAIDI";#N/A,#N/A,FALSE,"Yearly SAIDI";#N/A,#N/A,FALSE,"Monthly MAIFI";#N/A,#N/A,FALSE,"Yearly MAIFI";#N/A,#N/A,FALSE,"Monthly Cust &gt;=4 Int"}</definedName>
    <definedName name="z" localSheetId="24" hidden="1">{#N/A,#N/A,FALSE,"Monthly SAIFI";#N/A,#N/A,FALSE,"Yearly SAIFI";#N/A,#N/A,FALSE,"Monthly CAIDI";#N/A,#N/A,FALSE,"Yearly CAIDI";#N/A,#N/A,FALSE,"Monthly SAIDI";#N/A,#N/A,FALSE,"Yearly SAIDI";#N/A,#N/A,FALSE,"Monthly MAIFI";#N/A,#N/A,FALSE,"Yearly MAIFI";#N/A,#N/A,FALSE,"Monthly Cust &gt;=4 Int"}</definedName>
    <definedName name="z" localSheetId="3"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E6D9E970_926F_4F3B_8D36_41EB74ECFD6A_.wvu.Cols" localSheetId="8" hidden="1">'Prop taxes to function'!#REF!,'Prop taxes to function'!$IU:$IU,'Prop taxes to function'!$IW:$IX,'Prop taxes to function'!$SQ:$SQ,'Prop taxes to function'!$SS:$ST,'Prop taxes to function'!$ACM:$ACM,'Prop taxes to function'!$ACO:$ACP,'Prop taxes to function'!$AMI:$AMI,'Prop taxes to function'!$AMK:$AML,'Prop taxes to function'!$AWE:$AWE,'Prop taxes to function'!$AWG:$AWH,'Prop taxes to function'!$BGA:$BGA,'Prop taxes to function'!$BGC:$BGD,'Prop taxes to function'!$BPW:$BPW,'Prop taxes to function'!$BPY:$BPZ,'Prop taxes to function'!$BZS:$BZS,'Prop taxes to function'!$BZU:$BZV,'Prop taxes to function'!$CJO:$CJO,'Prop taxes to function'!$CJQ:$CJR,'Prop taxes to function'!$CTK:$CTK,'Prop taxes to function'!$CTM:$CTN,'Prop taxes to function'!$DDG:$DDG,'Prop taxes to function'!$DDI:$DDJ,'Prop taxes to function'!$DNC:$DNC,'Prop taxes to function'!$DNE:$DNF,'Prop taxes to function'!$DWY:$DWY,'Prop taxes to function'!$DXA:$DXB,'Prop taxes to function'!$EGU:$EGU,'Prop taxes to function'!$EGW:$EGX,'Prop taxes to function'!$EQQ:$EQQ,'Prop taxes to function'!$EQS:$EQT,'Prop taxes to function'!$FAM:$FAM,'Prop taxes to function'!$FAO:$FAP,'Prop taxes to function'!$FKI:$FKI,'Prop taxes to function'!$FKK:$FKL,'Prop taxes to function'!$FUE:$FUE,'Prop taxes to function'!$FUG:$FUH,'Prop taxes to function'!$GEA:$GEA,'Prop taxes to function'!$GEC:$GED,'Prop taxes to function'!$GNW:$GNW,'Prop taxes to function'!$GNY:$GNZ,'Prop taxes to function'!$GXS:$GXS,'Prop taxes to function'!$GXU:$GXV,'Prop taxes to function'!$HHO:$HHO,'Prop taxes to function'!$HHQ:$HHR,'Prop taxes to function'!$HRK:$HRK,'Prop taxes to function'!$HRM:$HRN,'Prop taxes to function'!$IBG:$IBG,'Prop taxes to function'!$IBI:$IBJ,'Prop taxes to function'!$ILC:$ILC,'Prop taxes to function'!$ILE:$ILF,'Prop taxes to function'!$IUY:$IUY,'Prop taxes to function'!$IVA:$IVB,'Prop taxes to function'!$JEU:$JEU,'Prop taxes to function'!$JEW:$JEX,'Prop taxes to function'!$JOQ:$JOQ,'Prop taxes to function'!$JOS:$JOT,'Prop taxes to function'!$JYM:$JYM,'Prop taxes to function'!$JYO:$JYP,'Prop taxes to function'!$KII:$KII,'Prop taxes to function'!$KIK:$KIL,'Prop taxes to function'!$KSE:$KSE,'Prop taxes to function'!$KSG:$KSH,'Prop taxes to function'!$LCA:$LCA,'Prop taxes to function'!$LCC:$LCD,'Prop taxes to function'!$LLW:$LLW,'Prop taxes to function'!$LLY:$LLZ,'Prop taxes to function'!$LVS:$LVS,'Prop taxes to function'!$LVU:$LVV,'Prop taxes to function'!$MFO:$MFO,'Prop taxes to function'!$MFQ:$MFR,'Prop taxes to function'!$MPK:$MPK,'Prop taxes to function'!$MPM:$MPN,'Prop taxes to function'!$MZG:$MZG,'Prop taxes to function'!$MZI:$MZJ,'Prop taxes to function'!$NJC:$NJC,'Prop taxes to function'!$NJE:$NJF,'Prop taxes to function'!$NSY:$NSY,'Prop taxes to function'!$NTA:$NTB,'Prop taxes to function'!$OCU:$OCU,'Prop taxes to function'!$OCW:$OCX,'Prop taxes to function'!$OMQ:$OMQ,'Prop taxes to function'!$OMS:$OMT,'Prop taxes to function'!$OWM:$OWM,'Prop taxes to function'!$OWO:$OWP,'Prop taxes to function'!$PGI:$PGI,'Prop taxes to function'!$PGK:$PGL,'Prop taxes to function'!$PQE:$PQE,'Prop taxes to function'!$PQG:$PQH,'Prop taxes to function'!$QAA:$QAA,'Prop taxes to function'!$QAC:$QAD,'Prop taxes to function'!$QJW:$QJW,'Prop taxes to function'!$QJY:$QJZ,'Prop taxes to function'!$QTS:$QTS,'Prop taxes to function'!$QTU:$QTV,'Prop taxes to function'!$RDO:$RDO,'Prop taxes to function'!$RDQ:$RDR,'Prop taxes to function'!$RNK:$RNK,'Prop taxes to function'!$RNM:$RNN,'Prop taxes to function'!$RXG:$RXG,'Prop taxes to function'!$RXI:$RXJ,'Prop taxes to function'!$SHC:$SHC,'Prop taxes to function'!$SHE:$SHF,'Prop taxes to function'!$SQY:$SQY,'Prop taxes to function'!$SRA:$SRB,'Prop taxes to function'!$TAU:$TAU,'Prop taxes to function'!$TAW:$TAX,'Prop taxes to function'!$TKQ:$TKQ,'Prop taxes to function'!$TKS:$TKT,'Prop taxes to function'!$TUM:$TUM,'Prop taxes to function'!$TUO:$TUP,'Prop taxes to function'!$UEI:$UEI,'Prop taxes to function'!$UEK:$UEL,'Prop taxes to function'!$UOE:$UOE,'Prop taxes to function'!$UOG:$UOH,'Prop taxes to function'!$UYA:$UYA,'Prop taxes to function'!$UYC:$UYD,'Prop taxes to function'!$VHW:$VHW,'Prop taxes to function'!$VHY:$VHZ,'Prop taxes to function'!$VRS:$VRS,'Prop taxes to function'!$VRU:$VRV,'Prop taxes to function'!$WBO:$WBO,'Prop taxes to function'!$WBQ:$WBR,'Prop taxes to function'!$WLK:$WLK,'Prop taxes to function'!$WLM:$WLN,'Prop taxes to function'!$WVG:$WVG,'Prop taxes to function'!$WVI:$WVJ</definedName>
    <definedName name="Z_E6D9E970_926F_4F3B_8D36_41EB74ECFD6A_.wvu.PrintArea" localSheetId="14" hidden="1">'6-Project Rev Req'!$A$1:$Q$116</definedName>
    <definedName name="Z_E6D9E970_926F_4F3B_8D36_41EB74ECFD6A_.wvu.Rows" localSheetId="11" hidden="1">'5 - Cost Support 1'!$24:$24</definedName>
    <definedName name="Z_F04A2B9A_C6FE_4FEB_AD1E_2CF9AC309BE4_.wvu.PrintArea" localSheetId="15" hidden="1">'6A-Project True-up'!$A$1:$L$22</definedName>
    <definedName name="Z_F04A2B9A_C6FE_4FEB_AD1E_2CF9AC309BE4_.wvu.PrintArea" localSheetId="14" hidden="1">'6-Project Rev Req'!$A$1:$Q$112</definedName>
    <definedName name="Z_F04A2B9A_C6FE_4FEB_AD1E_2CF9AC309BE4_.wvu.PrintArea" localSheetId="19" hidden="1">'9 - Rate Base'!$A$1:$M$49</definedName>
    <definedName name="Z_F04A2B9A_C6FE_4FEB_AD1E_2CF9AC309BE4_.wvu.PrintArea" localSheetId="20" hidden="1">'9A - Gross Plant &amp; ARO'!$A$1:$O$25</definedName>
    <definedName name="zaph" localSheetId="3">#REF!</definedName>
    <definedName name="zaph" localSheetId="15">#REF!</definedName>
    <definedName name="zaph" localSheetId="16">#REF!</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5" i="1" l="1"/>
  <c r="R255" i="9" l="1"/>
  <c r="N144" i="41"/>
  <c r="R127" i="41"/>
  <c r="L127" i="41"/>
  <c r="N127" i="41"/>
  <c r="N111" i="41"/>
  <c r="N94" i="41"/>
  <c r="R94" i="41"/>
  <c r="L94" i="41"/>
  <c r="R78" i="41"/>
  <c r="N78" i="41"/>
  <c r="L78" i="41"/>
  <c r="N61" i="41"/>
  <c r="R28" i="41"/>
  <c r="L28" i="41"/>
  <c r="E305" i="42"/>
  <c r="E290" i="42"/>
  <c r="E281" i="42"/>
  <c r="G143" i="42"/>
  <c r="I143" i="42"/>
  <c r="G144" i="42"/>
  <c r="H144" i="42"/>
  <c r="I144" i="42"/>
  <c r="F144" i="42"/>
  <c r="F143"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O27" i="45" l="1"/>
  <c r="H289" i="49"/>
  <c r="E304" i="49"/>
  <c r="E280" i="49"/>
  <c r="I142" i="49"/>
  <c r="G142" i="49"/>
  <c r="G143" i="49"/>
  <c r="H143" i="49"/>
  <c r="F143" i="49"/>
  <c r="F142" i="49"/>
  <c r="E73" i="49"/>
  <c r="E72" i="49"/>
  <c r="E74" i="49"/>
  <c r="E71" i="49"/>
  <c r="E38" i="49"/>
  <c r="E39" i="49"/>
  <c r="E40" i="49"/>
  <c r="E41" i="49"/>
  <c r="E42" i="49"/>
  <c r="E43" i="49"/>
  <c r="E44" i="49"/>
  <c r="E45" i="49"/>
  <c r="E46" i="49"/>
  <c r="E47" i="49"/>
  <c r="E48" i="49"/>
  <c r="E49" i="49"/>
  <c r="E50" i="49"/>
  <c r="E51" i="49"/>
  <c r="E52" i="49"/>
  <c r="E53" i="49"/>
  <c r="E54" i="49"/>
  <c r="E55" i="49"/>
  <c r="E56" i="49"/>
  <c r="E57" i="49"/>
  <c r="E58" i="49"/>
  <c r="E59" i="49"/>
  <c r="E60" i="49"/>
  <c r="E61" i="49"/>
  <c r="E62" i="49"/>
  <c r="E63" i="49"/>
  <c r="E64" i="49"/>
  <c r="E65" i="49"/>
  <c r="E66" i="49"/>
  <c r="E67" i="49"/>
  <c r="E68" i="49"/>
  <c r="R213" i="44"/>
  <c r="R209" i="44"/>
  <c r="L213" i="44"/>
  <c r="L209" i="44"/>
  <c r="N209" i="44"/>
  <c r="N193" i="44"/>
  <c r="R180" i="44"/>
  <c r="L180" i="44"/>
  <c r="N176" i="44"/>
  <c r="R176" i="44"/>
  <c r="L176" i="44"/>
  <c r="R160" i="44"/>
  <c r="L160" i="44"/>
  <c r="N160" i="44"/>
  <c r="R143" i="44"/>
  <c r="L96" i="44"/>
  <c r="R96" i="44"/>
  <c r="N80" i="44"/>
  <c r="N100" i="44"/>
  <c r="N96" i="44"/>
  <c r="N30" i="44"/>
  <c r="N63" i="44"/>
  <c r="N50" i="44"/>
  <c r="N51" i="44"/>
  <c r="N52" i="44"/>
  <c r="N53" i="44"/>
  <c r="N54" i="44"/>
  <c r="N55" i="44"/>
  <c r="N56" i="44"/>
  <c r="N57" i="44"/>
  <c r="N58" i="44"/>
  <c r="N59" i="44"/>
  <c r="N60" i="44"/>
  <c r="N49" i="44"/>
  <c r="R34" i="44"/>
  <c r="R63" i="44"/>
  <c r="L63" i="44"/>
  <c r="R47" i="44"/>
  <c r="L47" i="44"/>
  <c r="R30" i="44"/>
  <c r="L30" i="44"/>
  <c r="R14" i="44"/>
  <c r="L14" i="44"/>
  <c r="O329" i="45" l="1"/>
  <c r="O293" i="45"/>
  <c r="O257" i="45"/>
  <c r="O246" i="45"/>
  <c r="O221" i="45"/>
  <c r="O185" i="45"/>
  <c r="O174" i="45"/>
  <c r="O149" i="45"/>
  <c r="J213" i="44"/>
  <c r="J180" i="44"/>
  <c r="J147" i="44"/>
  <c r="J67" i="44"/>
  <c r="J100" i="44"/>
  <c r="I143" i="49" l="1"/>
  <c r="F316" i="49"/>
  <c r="G315" i="49"/>
  <c r="H314" i="49"/>
  <c r="I313" i="49"/>
  <c r="F296" i="49"/>
  <c r="G295" i="49"/>
  <c r="H294" i="49"/>
  <c r="I293" i="49"/>
  <c r="F252" i="49"/>
  <c r="G251" i="49"/>
  <c r="H250" i="49"/>
  <c r="I249" i="49"/>
  <c r="F225" i="49"/>
  <c r="G224" i="49"/>
  <c r="H223" i="49"/>
  <c r="I222" i="49"/>
  <c r="F179" i="49"/>
  <c r="G178" i="49"/>
  <c r="H177" i="49"/>
  <c r="I176" i="49"/>
  <c r="F152" i="49"/>
  <c r="G151" i="49"/>
  <c r="H150" i="49"/>
  <c r="I149" i="49"/>
  <c r="F108" i="49"/>
  <c r="G107" i="49"/>
  <c r="H106" i="49"/>
  <c r="I105" i="49"/>
  <c r="E37" i="49"/>
  <c r="J193" i="44"/>
  <c r="J160" i="44"/>
  <c r="J127" i="44"/>
  <c r="J80" i="44"/>
  <c r="J47" i="44"/>
  <c r="J30" i="44"/>
  <c r="J209" i="44" s="1"/>
  <c r="E51" i="18"/>
  <c r="J96" i="44" l="1"/>
  <c r="J143" i="44"/>
  <c r="J176" i="44"/>
  <c r="J63" i="44"/>
  <c r="D40" i="7" l="1"/>
  <c r="I21" i="33"/>
  <c r="G21" i="33" s="1"/>
  <c r="H14" i="33"/>
  <c r="I18" i="33"/>
  <c r="G33" i="32"/>
  <c r="G20" i="32"/>
  <c r="G21" i="32"/>
  <c r="N83" i="12"/>
  <c r="N82" i="12"/>
  <c r="N81" i="12"/>
  <c r="N80" i="12"/>
  <c r="N79" i="12"/>
  <c r="N77" i="12"/>
  <c r="N76" i="12"/>
  <c r="N73" i="12"/>
  <c r="N72" i="12"/>
  <c r="N71" i="12"/>
  <c r="N70" i="12"/>
  <c r="C66" i="13"/>
  <c r="Q255" i="9"/>
  <c r="F24" i="32" s="1"/>
  <c r="H50" i="9"/>
  <c r="H52" i="9" s="1"/>
  <c r="G71" i="9"/>
  <c r="G58" i="9" s="1"/>
  <c r="H156" i="1" l="1"/>
  <c r="T107" i="9" l="1"/>
  <c r="H247" i="9" l="1"/>
  <c r="H245" i="9"/>
  <c r="H243" i="9"/>
  <c r="G247" i="9"/>
  <c r="J18" i="33"/>
  <c r="G145" i="42" l="1"/>
  <c r="H145" i="42"/>
  <c r="I145" i="42"/>
  <c r="G73" i="42"/>
  <c r="H73" i="42"/>
  <c r="I73" i="42"/>
  <c r="G74" i="42"/>
  <c r="H74" i="42"/>
  <c r="I74" i="42"/>
  <c r="G75" i="42"/>
  <c r="H75" i="42"/>
  <c r="I75" i="42"/>
  <c r="F75" i="42"/>
  <c r="F74" i="42"/>
  <c r="F73" i="42"/>
  <c r="O36" i="45"/>
  <c r="E27" i="5"/>
  <c r="B340" i="9" l="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E139" i="49" l="1"/>
  <c r="E138" i="49"/>
  <c r="E137" i="49"/>
  <c r="E136" i="49"/>
  <c r="E135" i="49"/>
  <c r="E143" i="42"/>
  <c r="E146" i="42"/>
  <c r="E145" i="42"/>
  <c r="E140" i="42"/>
  <c r="E139" i="42"/>
  <c r="E138" i="42"/>
  <c r="E137" i="42"/>
  <c r="E136" i="42"/>
  <c r="E144" i="42" l="1"/>
  <c r="H158" i="1"/>
  <c r="J164" i="41" l="1"/>
  <c r="J160" i="41"/>
  <c r="J144" i="41"/>
  <c r="J127" i="41"/>
  <c r="J131" i="41"/>
  <c r="J111" i="41"/>
  <c r="J98" i="41"/>
  <c r="J94" i="41"/>
  <c r="J78" i="41"/>
  <c r="J61" i="41"/>
  <c r="J65" i="41" l="1"/>
  <c r="J45" i="41"/>
  <c r="J28" i="41"/>
  <c r="N45" i="41"/>
  <c r="Q329" i="45"/>
  <c r="Q293" i="45"/>
  <c r="O282" i="45"/>
  <c r="Q282" i="45" s="1"/>
  <c r="Q257" i="45"/>
  <c r="Q246" i="45"/>
  <c r="Q221" i="45"/>
  <c r="Q185" i="45"/>
  <c r="Q174" i="45"/>
  <c r="Q149" i="45"/>
  <c r="O138" i="45"/>
  <c r="Q138" i="45" s="1"/>
  <c r="Q54" i="45"/>
  <c r="Q52" i="45"/>
  <c r="Q53" i="45"/>
  <c r="Q55" i="45"/>
  <c r="Q37" i="45"/>
  <c r="Q36" i="45"/>
  <c r="Q35" i="45"/>
  <c r="Q34" i="45"/>
  <c r="O28" i="45"/>
  <c r="Q28" i="45" s="1"/>
  <c r="Q27" i="45"/>
  <c r="O26" i="45"/>
  <c r="Q26" i="45" s="1"/>
  <c r="O25" i="45"/>
  <c r="Q25" i="45" s="1"/>
  <c r="O18" i="45"/>
  <c r="O17" i="45"/>
  <c r="Q417" i="45"/>
  <c r="M417" i="45"/>
  <c r="Q403" i="45"/>
  <c r="M403" i="45"/>
  <c r="Q385" i="45"/>
  <c r="M385" i="45"/>
  <c r="Q349" i="45"/>
  <c r="M349" i="45"/>
  <c r="Q313" i="45"/>
  <c r="M313" i="45"/>
  <c r="Q277" i="45"/>
  <c r="M277" i="45"/>
  <c r="Q241" i="45"/>
  <c r="M241" i="45"/>
  <c r="Q205" i="45"/>
  <c r="M205" i="45"/>
  <c r="Q169" i="45"/>
  <c r="M169" i="45"/>
  <c r="Q133" i="45"/>
  <c r="M133" i="45"/>
  <c r="Q118" i="45"/>
  <c r="M118" i="45"/>
  <c r="Q100" i="45"/>
  <c r="M100" i="45"/>
  <c r="Q65" i="45"/>
  <c r="M65" i="45"/>
  <c r="Q47" i="45"/>
  <c r="M47" i="45"/>
  <c r="D59" i="14" l="1"/>
  <c r="E212" i="49" l="1"/>
  <c r="E211" i="49"/>
  <c r="E210" i="49"/>
  <c r="E209" i="49"/>
  <c r="E208" i="49"/>
  <c r="E207" i="49"/>
  <c r="E206" i="49"/>
  <c r="E160" i="49"/>
  <c r="C34" i="19" l="1"/>
  <c r="D34" i="19"/>
  <c r="K12" i="18" l="1"/>
  <c r="L12" i="18"/>
  <c r="M12" i="18"/>
  <c r="N12" i="18"/>
  <c r="N29" i="48" l="1"/>
  <c r="L29" i="48"/>
  <c r="J29" i="48"/>
  <c r="H29" i="48"/>
  <c r="F29" i="48"/>
  <c r="D29" i="48"/>
  <c r="B29" i="48"/>
  <c r="P28" i="48"/>
  <c r="P27" i="48"/>
  <c r="P26" i="48"/>
  <c r="P25" i="48"/>
  <c r="P24" i="48"/>
  <c r="P23" i="48"/>
  <c r="P22" i="48"/>
  <c r="P21" i="48"/>
  <c r="P20" i="48"/>
  <c r="P19" i="48"/>
  <c r="P18" i="48"/>
  <c r="P17" i="48"/>
  <c r="P16" i="48"/>
  <c r="P15" i="48"/>
  <c r="P14" i="48"/>
  <c r="P13" i="48"/>
  <c r="P12" i="48"/>
  <c r="P11" i="48"/>
  <c r="P10" i="48"/>
  <c r="P9" i="48"/>
  <c r="P8" i="48"/>
  <c r="P29" i="48" l="1"/>
  <c r="H254" i="9" l="1"/>
  <c r="I13" i="33" s="1"/>
  <c r="G13" i="33" s="1"/>
  <c r="C78" i="19" l="1"/>
  <c r="O354" i="45" l="1"/>
  <c r="O388" i="45" s="1"/>
  <c r="N164" i="41"/>
  <c r="N160" i="41"/>
  <c r="N131" i="41"/>
  <c r="N98" i="41"/>
  <c r="N65" i="41"/>
  <c r="N28" i="41"/>
  <c r="N213" i="44"/>
  <c r="N180" i="44"/>
  <c r="N147" i="44"/>
  <c r="N143" i="44"/>
  <c r="N127" i="44"/>
  <c r="N67" i="44"/>
  <c r="G110" i="9" l="1"/>
  <c r="C42" i="14"/>
  <c r="C43" i="14"/>
  <c r="C44" i="14"/>
  <c r="C45" i="14"/>
  <c r="C46" i="14"/>
  <c r="C47" i="14"/>
  <c r="C48" i="14"/>
  <c r="C49" i="14"/>
  <c r="C50" i="14"/>
  <c r="C51" i="14"/>
  <c r="C52" i="14"/>
  <c r="C53" i="14"/>
  <c r="C54" i="14"/>
  <c r="C55" i="14"/>
  <c r="C56" i="14"/>
  <c r="C57" i="14"/>
  <c r="C58" i="14"/>
  <c r="E37" i="42" l="1"/>
  <c r="H17" i="1" l="1"/>
  <c r="H13" i="1"/>
  <c r="H22" i="1" l="1"/>
  <c r="H24" i="1" s="1"/>
  <c r="I46" i="13" l="1"/>
  <c r="H232" i="1" l="1"/>
  <c r="H335" i="1" l="1"/>
  <c r="E282" i="42" l="1"/>
  <c r="I311" i="49" l="1"/>
  <c r="I317" i="49" s="1"/>
  <c r="H311" i="49"/>
  <c r="H317" i="49" s="1"/>
  <c r="G311" i="49"/>
  <c r="G317" i="49" s="1"/>
  <c r="F311" i="49"/>
  <c r="F317" i="49" s="1"/>
  <c r="E311" i="49"/>
  <c r="I287" i="49"/>
  <c r="I291" i="49" s="1"/>
  <c r="H287" i="49"/>
  <c r="G287" i="49"/>
  <c r="G291" i="49" s="1"/>
  <c r="G297" i="49" s="1"/>
  <c r="G15" i="49" s="1"/>
  <c r="F287" i="49"/>
  <c r="F291" i="49" s="1"/>
  <c r="F297" i="49" s="1"/>
  <c r="E287" i="49"/>
  <c r="E291" i="49" s="1"/>
  <c r="I240" i="49"/>
  <c r="I262" i="49" s="1"/>
  <c r="H240" i="49"/>
  <c r="H262" i="49" s="1"/>
  <c r="G240" i="49"/>
  <c r="G262" i="49" s="1"/>
  <c r="F240" i="49"/>
  <c r="F262" i="49" s="1"/>
  <c r="E240" i="49"/>
  <c r="E247" i="49" s="1"/>
  <c r="I213" i="49"/>
  <c r="I261" i="49" s="1"/>
  <c r="H213" i="49"/>
  <c r="H220" i="49" s="1"/>
  <c r="H226" i="49" s="1"/>
  <c r="H14" i="49" s="1"/>
  <c r="G213" i="49"/>
  <c r="G261" i="49" s="1"/>
  <c r="F213" i="49"/>
  <c r="F220" i="49" s="1"/>
  <c r="F226" i="49" s="1"/>
  <c r="I181" i="49"/>
  <c r="I167" i="49"/>
  <c r="I188" i="49" s="1"/>
  <c r="H167" i="49"/>
  <c r="H174" i="49" s="1"/>
  <c r="H180" i="49" s="1"/>
  <c r="G167" i="49"/>
  <c r="G188" i="49" s="1"/>
  <c r="F167" i="49"/>
  <c r="F188" i="49" s="1"/>
  <c r="E167" i="49"/>
  <c r="E174" i="49" s="1"/>
  <c r="E145" i="49"/>
  <c r="E144" i="49"/>
  <c r="E143" i="49"/>
  <c r="I140" i="49"/>
  <c r="I187" i="49" s="1"/>
  <c r="H140" i="49"/>
  <c r="H187" i="49" s="1"/>
  <c r="G140" i="49"/>
  <c r="G147" i="49" s="1"/>
  <c r="G153" i="49" s="1"/>
  <c r="G13" i="49" s="1"/>
  <c r="F140" i="49"/>
  <c r="F187" i="49" s="1"/>
  <c r="I96" i="49"/>
  <c r="I117" i="49" s="1"/>
  <c r="H96" i="49"/>
  <c r="H117" i="49" s="1"/>
  <c r="G96" i="49"/>
  <c r="G117" i="49" s="1"/>
  <c r="F96" i="49"/>
  <c r="F117" i="49" s="1"/>
  <c r="E96" i="49"/>
  <c r="E103" i="49" s="1"/>
  <c r="I69" i="49"/>
  <c r="H69" i="49"/>
  <c r="H76" i="49" s="1"/>
  <c r="H82" i="49" s="1"/>
  <c r="H11" i="49" s="1"/>
  <c r="G69" i="49"/>
  <c r="G116" i="49" s="1"/>
  <c r="F69" i="49"/>
  <c r="F116" i="49" s="1"/>
  <c r="B17" i="49"/>
  <c r="B22" i="49" s="1"/>
  <c r="E12" i="49"/>
  <c r="B12" i="49"/>
  <c r="B13" i="49" s="1"/>
  <c r="B14" i="49" s="1"/>
  <c r="B15" i="49" s="1"/>
  <c r="G247" i="49" l="1"/>
  <c r="G253" i="49" s="1"/>
  <c r="H291" i="49"/>
  <c r="H297" i="49" s="1"/>
  <c r="H15" i="49" s="1"/>
  <c r="H247" i="49"/>
  <c r="H253" i="49" s="1"/>
  <c r="I174" i="49"/>
  <c r="I180" i="49" s="1"/>
  <c r="F247" i="49"/>
  <c r="F253" i="49" s="1"/>
  <c r="I189" i="49"/>
  <c r="G263" i="49"/>
  <c r="I220" i="49"/>
  <c r="I226" i="49" s="1"/>
  <c r="I14" i="49" s="1"/>
  <c r="H188" i="49"/>
  <c r="H189" i="49" s="1"/>
  <c r="H261" i="49"/>
  <c r="H263" i="49" s="1"/>
  <c r="F103" i="49"/>
  <c r="F109" i="49" s="1"/>
  <c r="I76" i="49"/>
  <c r="I82" i="49" s="1"/>
  <c r="I11" i="49" s="1"/>
  <c r="E140" i="49"/>
  <c r="E213" i="49"/>
  <c r="E220" i="49" s="1"/>
  <c r="I263" i="49"/>
  <c r="G220" i="49"/>
  <c r="G226" i="49" s="1"/>
  <c r="G14" i="49" s="1"/>
  <c r="H147" i="49"/>
  <c r="H153" i="49" s="1"/>
  <c r="H13" i="49" s="1"/>
  <c r="E142" i="49"/>
  <c r="I147" i="49"/>
  <c r="I153" i="49" s="1"/>
  <c r="I13" i="49" s="1"/>
  <c r="F76" i="49"/>
  <c r="F82" i="49" s="1"/>
  <c r="F11" i="49" s="1"/>
  <c r="G76" i="49"/>
  <c r="G82" i="49" s="1"/>
  <c r="G11" i="49" s="1"/>
  <c r="E69" i="49"/>
  <c r="H116" i="49"/>
  <c r="H118" i="49" s="1"/>
  <c r="I116" i="49"/>
  <c r="E317" i="49"/>
  <c r="F118" i="49"/>
  <c r="G118" i="49"/>
  <c r="E117" i="49"/>
  <c r="F189" i="49"/>
  <c r="E262" i="49"/>
  <c r="F15" i="49"/>
  <c r="F14" i="49"/>
  <c r="I297" i="49"/>
  <c r="I15" i="49" s="1"/>
  <c r="G103" i="49"/>
  <c r="G109" i="49" s="1"/>
  <c r="F147" i="49"/>
  <c r="F153" i="49" s="1"/>
  <c r="G187" i="49"/>
  <c r="G189" i="49" s="1"/>
  <c r="I247" i="49"/>
  <c r="I253" i="49" s="1"/>
  <c r="E253" i="49" s="1"/>
  <c r="H103" i="49"/>
  <c r="H109" i="49" s="1"/>
  <c r="F261" i="49"/>
  <c r="I103" i="49"/>
  <c r="I109" i="49" s="1"/>
  <c r="F174" i="49"/>
  <c r="F180" i="49" s="1"/>
  <c r="G174" i="49"/>
  <c r="G180" i="49" s="1"/>
  <c r="H17" i="49" l="1"/>
  <c r="E116" i="49"/>
  <c r="E14" i="49"/>
  <c r="E188" i="49"/>
  <c r="E76" i="49"/>
  <c r="E109" i="49"/>
  <c r="I17" i="49"/>
  <c r="E147" i="49"/>
  <c r="G17" i="49"/>
  <c r="E226" i="49"/>
  <c r="E187" i="49"/>
  <c r="I118" i="49"/>
  <c r="E82" i="49"/>
  <c r="E180" i="49"/>
  <c r="E15" i="49"/>
  <c r="E297" i="49"/>
  <c r="F263" i="49"/>
  <c r="E261" i="49"/>
  <c r="E263" i="49" s="1"/>
  <c r="E118" i="49"/>
  <c r="F13" i="49"/>
  <c r="E13" i="49" s="1"/>
  <c r="E153" i="49"/>
  <c r="E11" i="49"/>
  <c r="E189" i="49" l="1"/>
  <c r="F17" i="49"/>
  <c r="E17" i="49"/>
  <c r="N33" i="47" l="1"/>
  <c r="L33" i="47"/>
  <c r="J33" i="47"/>
  <c r="H33" i="47"/>
  <c r="F33" i="47"/>
  <c r="D33" i="47"/>
  <c r="B33" i="47"/>
  <c r="P31" i="47"/>
  <c r="P30" i="47"/>
  <c r="P29" i="47"/>
  <c r="P28" i="47"/>
  <c r="P27" i="47"/>
  <c r="P26" i="47"/>
  <c r="P25" i="47"/>
  <c r="P24" i="47"/>
  <c r="P23" i="47"/>
  <c r="P22" i="47"/>
  <c r="P21" i="47"/>
  <c r="P20" i="47"/>
  <c r="P19" i="47"/>
  <c r="P18" i="47"/>
  <c r="P17" i="47"/>
  <c r="P16" i="47"/>
  <c r="P15" i="47"/>
  <c r="P14" i="47"/>
  <c r="P13" i="47"/>
  <c r="P12" i="47"/>
  <c r="P11" i="47"/>
  <c r="P10" i="47"/>
  <c r="P9" i="47"/>
  <c r="P33" i="47" l="1"/>
  <c r="I71" i="9"/>
  <c r="I58" i="9"/>
  <c r="I23" i="9"/>
  <c r="E335" i="1" l="1"/>
  <c r="E307" i="1"/>
  <c r="E299" i="1"/>
  <c r="E264" i="1"/>
  <c r="E258" i="1"/>
  <c r="E257" i="1"/>
  <c r="E245" i="1"/>
  <c r="E230" i="1"/>
  <c r="E232" i="1" s="1"/>
  <c r="E198" i="1"/>
  <c r="E197" i="1"/>
  <c r="E191" i="1"/>
  <c r="E174" i="1"/>
  <c r="E170" i="1"/>
  <c r="E169" i="1"/>
  <c r="E163" i="1"/>
  <c r="E160" i="1"/>
  <c r="E154" i="1"/>
  <c r="E150" i="1"/>
  <c r="E149" i="1"/>
  <c r="E133" i="1"/>
  <c r="E134" i="1" s="1"/>
  <c r="E121" i="1"/>
  <c r="E116" i="1"/>
  <c r="E74" i="1"/>
  <c r="E68" i="1"/>
  <c r="E62" i="1"/>
  <c r="E54" i="1"/>
  <c r="E38" i="1"/>
  <c r="E36" i="1"/>
  <c r="E34" i="1"/>
  <c r="E27" i="1"/>
  <c r="C362" i="1"/>
  <c r="C361" i="1"/>
  <c r="C360" i="1"/>
  <c r="D94" i="1" l="1"/>
  <c r="V116" i="46"/>
  <c r="T116" i="46"/>
  <c r="N116" i="46"/>
  <c r="L116" i="46"/>
  <c r="H116" i="46"/>
  <c r="F116" i="46"/>
  <c r="P115" i="46"/>
  <c r="O115" i="46"/>
  <c r="M115" i="46"/>
  <c r="J115" i="46"/>
  <c r="R115" i="46" s="1"/>
  <c r="X115" i="46" s="1"/>
  <c r="AF115" i="46" s="1"/>
  <c r="I115" i="46"/>
  <c r="G115" i="46"/>
  <c r="R114" i="46"/>
  <c r="X114" i="46" s="1"/>
  <c r="AF114" i="46" s="1"/>
  <c r="O114" i="46"/>
  <c r="M114" i="46"/>
  <c r="P114" i="46" s="1"/>
  <c r="J114" i="46"/>
  <c r="I114" i="46"/>
  <c r="G114" i="46"/>
  <c r="O113" i="46"/>
  <c r="M113" i="46"/>
  <c r="I113" i="46"/>
  <c r="G113" i="46"/>
  <c r="J113" i="46" s="1"/>
  <c r="O112" i="46"/>
  <c r="P112" i="46" s="1"/>
  <c r="M112" i="46"/>
  <c r="I112" i="46"/>
  <c r="G112" i="46"/>
  <c r="P111" i="46"/>
  <c r="O111" i="46"/>
  <c r="M111" i="46"/>
  <c r="I111" i="46"/>
  <c r="J111" i="46" s="1"/>
  <c r="R111" i="46" s="1"/>
  <c r="X111" i="46" s="1"/>
  <c r="AF111" i="46" s="1"/>
  <c r="G111" i="46"/>
  <c r="O110" i="46"/>
  <c r="M110" i="46"/>
  <c r="P110" i="46" s="1"/>
  <c r="R110" i="46" s="1"/>
  <c r="X110" i="46" s="1"/>
  <c r="AF110" i="46" s="1"/>
  <c r="J110" i="46"/>
  <c r="I110" i="46"/>
  <c r="G110" i="46"/>
  <c r="O109" i="46"/>
  <c r="M109" i="46"/>
  <c r="P109" i="46" s="1"/>
  <c r="I109" i="46"/>
  <c r="G109" i="46"/>
  <c r="J109" i="46" s="1"/>
  <c r="O108" i="46"/>
  <c r="P108" i="46" s="1"/>
  <c r="M108" i="46"/>
  <c r="I108" i="46"/>
  <c r="G108" i="46"/>
  <c r="J108" i="46" s="1"/>
  <c r="P107" i="46"/>
  <c r="O107" i="46"/>
  <c r="M107" i="46"/>
  <c r="J107" i="46"/>
  <c r="R107" i="46" s="1"/>
  <c r="X107" i="46" s="1"/>
  <c r="AF107" i="46" s="1"/>
  <c r="I107" i="46"/>
  <c r="G107" i="46"/>
  <c r="R106" i="46"/>
  <c r="X106" i="46" s="1"/>
  <c r="AF106" i="46" s="1"/>
  <c r="O106" i="46"/>
  <c r="M106" i="46"/>
  <c r="P106" i="46" s="1"/>
  <c r="J106" i="46"/>
  <c r="I106" i="46"/>
  <c r="G106" i="46"/>
  <c r="O105" i="46"/>
  <c r="M105" i="46"/>
  <c r="I105" i="46"/>
  <c r="G105" i="46"/>
  <c r="J105" i="46" s="1"/>
  <c r="O104" i="46"/>
  <c r="P104" i="46" s="1"/>
  <c r="M104" i="46"/>
  <c r="I104" i="46"/>
  <c r="G104" i="46"/>
  <c r="P103" i="46"/>
  <c r="O103" i="46"/>
  <c r="M103" i="46"/>
  <c r="I103" i="46"/>
  <c r="J103" i="46" s="1"/>
  <c r="R103" i="46" s="1"/>
  <c r="X103" i="46" s="1"/>
  <c r="AF103" i="46" s="1"/>
  <c r="G103" i="46"/>
  <c r="O102" i="46"/>
  <c r="M102" i="46"/>
  <c r="P102" i="46" s="1"/>
  <c r="R102" i="46" s="1"/>
  <c r="X102" i="46" s="1"/>
  <c r="AF102" i="46" s="1"/>
  <c r="J102" i="46"/>
  <c r="I102" i="46"/>
  <c r="G102" i="46"/>
  <c r="O101" i="46"/>
  <c r="M101" i="46"/>
  <c r="P101" i="46" s="1"/>
  <c r="I101" i="46"/>
  <c r="G101" i="46"/>
  <c r="J101" i="46" s="1"/>
  <c r="O100" i="46"/>
  <c r="P100" i="46" s="1"/>
  <c r="M100" i="46"/>
  <c r="I100" i="46"/>
  <c r="G100" i="46"/>
  <c r="J100" i="46" s="1"/>
  <c r="P99" i="46"/>
  <c r="O99" i="46"/>
  <c r="M99" i="46"/>
  <c r="J99" i="46"/>
  <c r="R99" i="46" s="1"/>
  <c r="X99" i="46" s="1"/>
  <c r="AF99" i="46" s="1"/>
  <c r="I99" i="46"/>
  <c r="G99" i="46"/>
  <c r="R98" i="46"/>
  <c r="X98" i="46" s="1"/>
  <c r="AF98" i="46" s="1"/>
  <c r="O98" i="46"/>
  <c r="M98" i="46"/>
  <c r="P98" i="46" s="1"/>
  <c r="J98" i="46"/>
  <c r="I98" i="46"/>
  <c r="G98" i="46"/>
  <c r="O97" i="46"/>
  <c r="M97" i="46"/>
  <c r="I97" i="46"/>
  <c r="G97" i="46"/>
  <c r="J97" i="46" s="1"/>
  <c r="O96" i="46"/>
  <c r="O116" i="46" s="1"/>
  <c r="M96" i="46"/>
  <c r="I96" i="46"/>
  <c r="G96" i="46"/>
  <c r="G116" i="46" s="1"/>
  <c r="P95" i="46"/>
  <c r="O95" i="46"/>
  <c r="M95" i="46"/>
  <c r="I95" i="46"/>
  <c r="G95" i="46"/>
  <c r="T92" i="46"/>
  <c r="N92" i="46"/>
  <c r="L92" i="46"/>
  <c r="L118" i="46" s="1"/>
  <c r="H92" i="46"/>
  <c r="F92" i="46"/>
  <c r="P91" i="46"/>
  <c r="O91" i="46"/>
  <c r="M91" i="46"/>
  <c r="J91" i="46"/>
  <c r="R91" i="46" s="1"/>
  <c r="X91" i="46" s="1"/>
  <c r="AF91" i="46" s="1"/>
  <c r="I91" i="46"/>
  <c r="G91" i="46"/>
  <c r="R90" i="46"/>
  <c r="X90" i="46" s="1"/>
  <c r="AF90" i="46" s="1"/>
  <c r="O90" i="46"/>
  <c r="M90" i="46"/>
  <c r="P90" i="46" s="1"/>
  <c r="J90" i="46"/>
  <c r="I90" i="46"/>
  <c r="G90" i="46"/>
  <c r="O89" i="46"/>
  <c r="M89" i="46"/>
  <c r="I89" i="46"/>
  <c r="G89" i="46"/>
  <c r="J89" i="46" s="1"/>
  <c r="O88" i="46"/>
  <c r="P88" i="46" s="1"/>
  <c r="M88" i="46"/>
  <c r="I88" i="46"/>
  <c r="G88" i="46"/>
  <c r="R87" i="46"/>
  <c r="O87" i="46"/>
  <c r="M87" i="46"/>
  <c r="P87" i="46" s="1"/>
  <c r="J87" i="46"/>
  <c r="I87" i="46"/>
  <c r="G87" i="46"/>
  <c r="O86" i="46"/>
  <c r="M86" i="46"/>
  <c r="P86" i="46" s="1"/>
  <c r="I86" i="46"/>
  <c r="G86" i="46"/>
  <c r="J86" i="46" s="1"/>
  <c r="P85" i="46"/>
  <c r="O85" i="46"/>
  <c r="M85" i="46"/>
  <c r="I85" i="46"/>
  <c r="G85" i="46"/>
  <c r="J85" i="46" s="1"/>
  <c r="R85" i="46" s="1"/>
  <c r="X85" i="46" s="1"/>
  <c r="AF85" i="46" s="1"/>
  <c r="P84" i="46"/>
  <c r="O84" i="46"/>
  <c r="M84" i="46"/>
  <c r="I84" i="46"/>
  <c r="J84" i="46" s="1"/>
  <c r="R84" i="46" s="1"/>
  <c r="X84" i="46" s="1"/>
  <c r="AF84" i="46" s="1"/>
  <c r="G84" i="46"/>
  <c r="O83" i="46"/>
  <c r="M83" i="46"/>
  <c r="P83" i="46" s="1"/>
  <c r="J83" i="46"/>
  <c r="R83" i="46" s="1"/>
  <c r="X83" i="46" s="1"/>
  <c r="AF83" i="46" s="1"/>
  <c r="I83" i="46"/>
  <c r="G83" i="46"/>
  <c r="O82" i="46"/>
  <c r="P82" i="46" s="1"/>
  <c r="M82" i="46"/>
  <c r="I82" i="46"/>
  <c r="G82" i="46"/>
  <c r="P81" i="46"/>
  <c r="O81" i="46"/>
  <c r="M81" i="46"/>
  <c r="I81" i="46"/>
  <c r="J81" i="46" s="1"/>
  <c r="R81" i="46" s="1"/>
  <c r="X81" i="46" s="1"/>
  <c r="AF81" i="46" s="1"/>
  <c r="G81" i="46"/>
  <c r="O80" i="46"/>
  <c r="M80" i="46"/>
  <c r="P80" i="46" s="1"/>
  <c r="R80" i="46" s="1"/>
  <c r="X80" i="46" s="1"/>
  <c r="AF80" i="46" s="1"/>
  <c r="J80" i="46"/>
  <c r="I80" i="46"/>
  <c r="G80" i="46"/>
  <c r="O79" i="46"/>
  <c r="P79" i="46" s="1"/>
  <c r="M79" i="46"/>
  <c r="I79" i="46"/>
  <c r="G79" i="46"/>
  <c r="J79" i="46" s="1"/>
  <c r="P78" i="46"/>
  <c r="O78" i="46"/>
  <c r="M78" i="46"/>
  <c r="I78" i="46"/>
  <c r="J78" i="46" s="1"/>
  <c r="G78" i="46"/>
  <c r="R77" i="46"/>
  <c r="X77" i="46" s="1"/>
  <c r="AF77" i="46" s="1"/>
  <c r="O77" i="46"/>
  <c r="M77" i="46"/>
  <c r="P77" i="46" s="1"/>
  <c r="J77" i="46"/>
  <c r="I77" i="46"/>
  <c r="G77" i="46"/>
  <c r="O76" i="46"/>
  <c r="O92" i="46" s="1"/>
  <c r="M76" i="46"/>
  <c r="I76" i="46"/>
  <c r="G76" i="46"/>
  <c r="J76" i="46" s="1"/>
  <c r="V72" i="46"/>
  <c r="T72" i="46"/>
  <c r="T118" i="46" s="1"/>
  <c r="N72" i="46"/>
  <c r="N118" i="46" s="1"/>
  <c r="L72" i="46"/>
  <c r="H72" i="46"/>
  <c r="H118" i="46" s="1"/>
  <c r="F72" i="46"/>
  <c r="F118" i="46" s="1"/>
  <c r="O71" i="46"/>
  <c r="M71" i="46"/>
  <c r="P71" i="46" s="1"/>
  <c r="I71" i="46"/>
  <c r="G71" i="46"/>
  <c r="J71" i="46" s="1"/>
  <c r="P70" i="46"/>
  <c r="O70" i="46"/>
  <c r="M70" i="46"/>
  <c r="I70" i="46"/>
  <c r="G70" i="46"/>
  <c r="J70" i="46" s="1"/>
  <c r="R70" i="46" s="1"/>
  <c r="X70" i="46" s="1"/>
  <c r="AF70" i="46" s="1"/>
  <c r="P69" i="46"/>
  <c r="O69" i="46"/>
  <c r="M69" i="46"/>
  <c r="I69" i="46"/>
  <c r="J69" i="46" s="1"/>
  <c r="R69" i="46" s="1"/>
  <c r="X69" i="46" s="1"/>
  <c r="AF69" i="46" s="1"/>
  <c r="G69" i="46"/>
  <c r="X68" i="46"/>
  <c r="AF68" i="46" s="1"/>
  <c r="O68" i="46"/>
  <c r="M68" i="46"/>
  <c r="P68" i="46" s="1"/>
  <c r="J68" i="46"/>
  <c r="R68" i="46" s="1"/>
  <c r="I68" i="46"/>
  <c r="G68" i="46"/>
  <c r="O67" i="46"/>
  <c r="M67" i="46"/>
  <c r="P67" i="46" s="1"/>
  <c r="I67" i="46"/>
  <c r="G67" i="46"/>
  <c r="J67" i="46" s="1"/>
  <c r="R67" i="46" s="1"/>
  <c r="X67" i="46" s="1"/>
  <c r="AF67" i="46" s="1"/>
  <c r="O66" i="46"/>
  <c r="P66" i="46" s="1"/>
  <c r="M66" i="46"/>
  <c r="I66" i="46"/>
  <c r="G66" i="46"/>
  <c r="J66" i="46" s="1"/>
  <c r="P65" i="46"/>
  <c r="O65" i="46"/>
  <c r="M65" i="46"/>
  <c r="I65" i="46"/>
  <c r="J65" i="46" s="1"/>
  <c r="G65" i="46"/>
  <c r="R64" i="46"/>
  <c r="X64" i="46" s="1"/>
  <c r="AF64" i="46" s="1"/>
  <c r="O64" i="46"/>
  <c r="M64" i="46"/>
  <c r="P64" i="46" s="1"/>
  <c r="J64" i="46"/>
  <c r="I64" i="46"/>
  <c r="G64" i="46"/>
  <c r="O63" i="46"/>
  <c r="M63" i="46"/>
  <c r="P63" i="46" s="1"/>
  <c r="I63" i="46"/>
  <c r="G63" i="46"/>
  <c r="J63" i="46" s="1"/>
  <c r="P62" i="46"/>
  <c r="O62" i="46"/>
  <c r="M62" i="46"/>
  <c r="I62" i="46"/>
  <c r="G62" i="46"/>
  <c r="J62" i="46" s="1"/>
  <c r="R62" i="46" s="1"/>
  <c r="X62" i="46" s="1"/>
  <c r="AF62" i="46" s="1"/>
  <c r="P61" i="46"/>
  <c r="O61" i="46"/>
  <c r="M61" i="46"/>
  <c r="I61" i="46"/>
  <c r="J61" i="46" s="1"/>
  <c r="R61" i="46" s="1"/>
  <c r="X61" i="46" s="1"/>
  <c r="AF61" i="46" s="1"/>
  <c r="G61" i="46"/>
  <c r="O60" i="46"/>
  <c r="M60" i="46"/>
  <c r="P60" i="46" s="1"/>
  <c r="J60" i="46"/>
  <c r="R60" i="46" s="1"/>
  <c r="X60" i="46" s="1"/>
  <c r="AF60" i="46" s="1"/>
  <c r="I60" i="46"/>
  <c r="G60" i="46"/>
  <c r="O59" i="46"/>
  <c r="M59" i="46"/>
  <c r="P59" i="46" s="1"/>
  <c r="I59" i="46"/>
  <c r="G59" i="46"/>
  <c r="J59" i="46" s="1"/>
  <c r="R59" i="46" s="1"/>
  <c r="X59" i="46" s="1"/>
  <c r="AF59" i="46" s="1"/>
  <c r="O58" i="46"/>
  <c r="P58" i="46" s="1"/>
  <c r="M58" i="46"/>
  <c r="I58" i="46"/>
  <c r="G58" i="46"/>
  <c r="J58" i="46" s="1"/>
  <c r="P57" i="46"/>
  <c r="O57" i="46"/>
  <c r="M57" i="46"/>
  <c r="I57" i="46"/>
  <c r="J57" i="46" s="1"/>
  <c r="G57" i="46"/>
  <c r="R56" i="46"/>
  <c r="X56" i="46" s="1"/>
  <c r="AF56" i="46" s="1"/>
  <c r="O56" i="46"/>
  <c r="M56" i="46"/>
  <c r="P56" i="46" s="1"/>
  <c r="J56" i="46"/>
  <c r="I56" i="46"/>
  <c r="G56" i="46"/>
  <c r="O55" i="46"/>
  <c r="M55" i="46"/>
  <c r="P55" i="46" s="1"/>
  <c r="I55" i="46"/>
  <c r="G55" i="46"/>
  <c r="J55" i="46" s="1"/>
  <c r="P54" i="46"/>
  <c r="O54" i="46"/>
  <c r="M54" i="46"/>
  <c r="I54" i="46"/>
  <c r="G54" i="46"/>
  <c r="J54" i="46" s="1"/>
  <c r="R54" i="46" s="1"/>
  <c r="X54" i="46" s="1"/>
  <c r="AF54" i="46" s="1"/>
  <c r="P53" i="46"/>
  <c r="O53" i="46"/>
  <c r="M53" i="46"/>
  <c r="I53" i="46"/>
  <c r="J53" i="46" s="1"/>
  <c r="R53" i="46" s="1"/>
  <c r="X53" i="46" s="1"/>
  <c r="AF53" i="46" s="1"/>
  <c r="G53" i="46"/>
  <c r="O52" i="46"/>
  <c r="M52" i="46"/>
  <c r="P52" i="46" s="1"/>
  <c r="I52" i="46"/>
  <c r="G52" i="46"/>
  <c r="J52" i="46" s="1"/>
  <c r="R52" i="46" s="1"/>
  <c r="X52" i="46" s="1"/>
  <c r="AF52" i="46" s="1"/>
  <c r="O51" i="46"/>
  <c r="M51" i="46"/>
  <c r="P51" i="46" s="1"/>
  <c r="I51" i="46"/>
  <c r="G51" i="46"/>
  <c r="J51" i="46" s="1"/>
  <c r="O50" i="46"/>
  <c r="M50" i="46"/>
  <c r="P50" i="46" s="1"/>
  <c r="I50" i="46"/>
  <c r="G50" i="46"/>
  <c r="J50" i="46" s="1"/>
  <c r="O49" i="46"/>
  <c r="P49" i="46" s="1"/>
  <c r="M49" i="46"/>
  <c r="I49" i="46"/>
  <c r="G49" i="46"/>
  <c r="J49" i="46" s="1"/>
  <c r="P48" i="46"/>
  <c r="O48" i="46"/>
  <c r="M48" i="46"/>
  <c r="I48" i="46"/>
  <c r="J48" i="46" s="1"/>
  <c r="G48" i="46"/>
  <c r="O47" i="46"/>
  <c r="M47" i="46"/>
  <c r="P47" i="46" s="1"/>
  <c r="J47" i="46"/>
  <c r="I47" i="46"/>
  <c r="G47" i="46"/>
  <c r="O46" i="46"/>
  <c r="M46" i="46"/>
  <c r="P46" i="46" s="1"/>
  <c r="I46" i="46"/>
  <c r="G46" i="46"/>
  <c r="J46" i="46" s="1"/>
  <c r="R46" i="46" s="1"/>
  <c r="X46" i="46" s="1"/>
  <c r="AF46" i="46" s="1"/>
  <c r="O45" i="46"/>
  <c r="P45" i="46" s="1"/>
  <c r="M45" i="46"/>
  <c r="I45" i="46"/>
  <c r="G45" i="46"/>
  <c r="J45" i="46" s="1"/>
  <c r="R45" i="46" s="1"/>
  <c r="X45" i="46" s="1"/>
  <c r="AF45" i="46" s="1"/>
  <c r="P44" i="46"/>
  <c r="O44" i="46"/>
  <c r="M44" i="46"/>
  <c r="I44" i="46"/>
  <c r="J44" i="46" s="1"/>
  <c r="R44" i="46" s="1"/>
  <c r="X44" i="46" s="1"/>
  <c r="AF44" i="46" s="1"/>
  <c r="G44" i="46"/>
  <c r="O43" i="46"/>
  <c r="M43" i="46"/>
  <c r="P43" i="46" s="1"/>
  <c r="J43" i="46"/>
  <c r="I43" i="46"/>
  <c r="G43" i="46"/>
  <c r="O42" i="46"/>
  <c r="M42" i="46"/>
  <c r="P42" i="46" s="1"/>
  <c r="I42" i="46"/>
  <c r="G42" i="46"/>
  <c r="J42" i="46" s="1"/>
  <c r="R42" i="46" s="1"/>
  <c r="X42" i="46" s="1"/>
  <c r="AF42" i="46" s="1"/>
  <c r="O41" i="46"/>
  <c r="P41" i="46" s="1"/>
  <c r="M41" i="46"/>
  <c r="I41" i="46"/>
  <c r="G41" i="46"/>
  <c r="J41" i="46" s="1"/>
  <c r="R41" i="46" s="1"/>
  <c r="X41" i="46" s="1"/>
  <c r="AF41" i="46" s="1"/>
  <c r="P40" i="46"/>
  <c r="O40" i="46"/>
  <c r="M40" i="46"/>
  <c r="I40" i="46"/>
  <c r="J40" i="46" s="1"/>
  <c r="R40" i="46" s="1"/>
  <c r="X40" i="46" s="1"/>
  <c r="AF40" i="46" s="1"/>
  <c r="G40" i="46"/>
  <c r="R39" i="46"/>
  <c r="X39" i="46" s="1"/>
  <c r="AF39" i="46" s="1"/>
  <c r="O39" i="46"/>
  <c r="M39" i="46"/>
  <c r="P39" i="46" s="1"/>
  <c r="J39" i="46"/>
  <c r="I39" i="46"/>
  <c r="G39" i="46"/>
  <c r="O38" i="46"/>
  <c r="M38" i="46"/>
  <c r="P38" i="46" s="1"/>
  <c r="I38" i="46"/>
  <c r="G38" i="46"/>
  <c r="J38" i="46" s="1"/>
  <c r="O37" i="46"/>
  <c r="P37" i="46" s="1"/>
  <c r="M37" i="46"/>
  <c r="I37" i="46"/>
  <c r="G37" i="46"/>
  <c r="J37" i="46" s="1"/>
  <c r="P36" i="46"/>
  <c r="O36" i="46"/>
  <c r="M36" i="46"/>
  <c r="I36" i="46"/>
  <c r="J36" i="46" s="1"/>
  <c r="G36" i="46"/>
  <c r="O35" i="46"/>
  <c r="M35" i="46"/>
  <c r="P35" i="46" s="1"/>
  <c r="J35" i="46"/>
  <c r="I35" i="46"/>
  <c r="G35" i="46"/>
  <c r="O34" i="46"/>
  <c r="M34" i="46"/>
  <c r="I34" i="46"/>
  <c r="G34" i="46"/>
  <c r="J34" i="46" s="1"/>
  <c r="O33" i="46"/>
  <c r="P33" i="46" s="1"/>
  <c r="M33" i="46"/>
  <c r="I33" i="46"/>
  <c r="G33" i="46"/>
  <c r="P32" i="46"/>
  <c r="O32" i="46"/>
  <c r="M32" i="46"/>
  <c r="I32" i="46"/>
  <c r="J32" i="46" s="1"/>
  <c r="R32" i="46" s="1"/>
  <c r="X32" i="46" s="1"/>
  <c r="AF32" i="46" s="1"/>
  <c r="G32" i="46"/>
  <c r="R31" i="46"/>
  <c r="X31" i="46" s="1"/>
  <c r="AF31" i="46" s="1"/>
  <c r="O31" i="46"/>
  <c r="M31" i="46"/>
  <c r="P31" i="46" s="1"/>
  <c r="J31" i="46"/>
  <c r="I31" i="46"/>
  <c r="G31" i="46"/>
  <c r="O30" i="46"/>
  <c r="M30" i="46"/>
  <c r="P30" i="46" s="1"/>
  <c r="I30" i="46"/>
  <c r="G30" i="46"/>
  <c r="J30" i="46" s="1"/>
  <c r="P29" i="46"/>
  <c r="O29" i="46"/>
  <c r="M29" i="46"/>
  <c r="I29" i="46"/>
  <c r="G29" i="46"/>
  <c r="J29" i="46" s="1"/>
  <c r="R29" i="46" s="1"/>
  <c r="X29" i="46" s="1"/>
  <c r="AF29" i="46" s="1"/>
  <c r="P28" i="46"/>
  <c r="O28" i="46"/>
  <c r="M28" i="46"/>
  <c r="J28" i="46"/>
  <c r="R28" i="46" s="1"/>
  <c r="X28" i="46" s="1"/>
  <c r="AF28" i="46" s="1"/>
  <c r="I28" i="46"/>
  <c r="G28" i="46"/>
  <c r="O27" i="46"/>
  <c r="M27" i="46"/>
  <c r="P27" i="46" s="1"/>
  <c r="J27" i="46"/>
  <c r="I27" i="46"/>
  <c r="G27" i="46"/>
  <c r="O26" i="46"/>
  <c r="M26" i="46"/>
  <c r="I26" i="46"/>
  <c r="G26" i="46"/>
  <c r="J26" i="46" s="1"/>
  <c r="O25" i="46"/>
  <c r="P25" i="46" s="1"/>
  <c r="M25" i="46"/>
  <c r="I25" i="46"/>
  <c r="G25" i="46"/>
  <c r="P24" i="46"/>
  <c r="O24" i="46"/>
  <c r="M24" i="46"/>
  <c r="I24" i="46"/>
  <c r="J24" i="46" s="1"/>
  <c r="R24" i="46" s="1"/>
  <c r="X24" i="46" s="1"/>
  <c r="AF24" i="46" s="1"/>
  <c r="G24" i="46"/>
  <c r="R23" i="46"/>
  <c r="X23" i="46" s="1"/>
  <c r="AF23" i="46" s="1"/>
  <c r="O23" i="46"/>
  <c r="M23" i="46"/>
  <c r="P23" i="46" s="1"/>
  <c r="J23" i="46"/>
  <c r="I23" i="46"/>
  <c r="G23" i="46"/>
  <c r="O22" i="46"/>
  <c r="M22" i="46"/>
  <c r="I22" i="46"/>
  <c r="G22" i="46"/>
  <c r="J22" i="46" s="1"/>
  <c r="P21" i="46"/>
  <c r="O21" i="46"/>
  <c r="M21" i="46"/>
  <c r="J21" i="46"/>
  <c r="R21" i="46" s="1"/>
  <c r="X21" i="46" s="1"/>
  <c r="AF21" i="46" s="1"/>
  <c r="I21" i="46"/>
  <c r="G21" i="46"/>
  <c r="P20" i="46"/>
  <c r="O20" i="46"/>
  <c r="M20" i="46"/>
  <c r="I20" i="46"/>
  <c r="J20" i="46" s="1"/>
  <c r="G20" i="46"/>
  <c r="O19" i="46"/>
  <c r="M19" i="46"/>
  <c r="J19" i="46"/>
  <c r="I19" i="46"/>
  <c r="G19" i="46"/>
  <c r="P18" i="46"/>
  <c r="O18" i="46"/>
  <c r="M18" i="46"/>
  <c r="I18" i="46"/>
  <c r="G18" i="46"/>
  <c r="O17" i="46"/>
  <c r="P17" i="46" s="1"/>
  <c r="M17" i="46"/>
  <c r="I17" i="46"/>
  <c r="G17" i="46"/>
  <c r="J17" i="46" s="1"/>
  <c r="P16" i="46"/>
  <c r="O16" i="46"/>
  <c r="M16" i="46"/>
  <c r="I16" i="46"/>
  <c r="J16" i="46" s="1"/>
  <c r="G16" i="46"/>
  <c r="O15" i="46"/>
  <c r="M15" i="46"/>
  <c r="I15" i="46"/>
  <c r="G15" i="46"/>
  <c r="J15" i="46" s="1"/>
  <c r="O14" i="46"/>
  <c r="P14" i="46" s="1"/>
  <c r="M14" i="46"/>
  <c r="I14" i="46"/>
  <c r="G14" i="46"/>
  <c r="J14" i="46" s="1"/>
  <c r="O13" i="46"/>
  <c r="P13" i="46" s="1"/>
  <c r="M13" i="46"/>
  <c r="I13" i="46"/>
  <c r="G13" i="46"/>
  <c r="J13" i="46" s="1"/>
  <c r="O12" i="46"/>
  <c r="M12" i="46"/>
  <c r="J12" i="46"/>
  <c r="I12" i="46"/>
  <c r="G12" i="46"/>
  <c r="Q420" i="45"/>
  <c r="O420" i="45"/>
  <c r="M420" i="45"/>
  <c r="K420" i="45"/>
  <c r="K389" i="45"/>
  <c r="O375" i="45"/>
  <c r="M375" i="45"/>
  <c r="Q375" i="45" s="1"/>
  <c r="K375" i="45"/>
  <c r="O374" i="45"/>
  <c r="M374" i="45"/>
  <c r="K374" i="45"/>
  <c r="O373" i="45"/>
  <c r="Q373" i="45" s="1"/>
  <c r="M373" i="45"/>
  <c r="K373" i="45"/>
  <c r="Q372" i="45"/>
  <c r="O372" i="45"/>
  <c r="O377" i="45" s="1"/>
  <c r="M372" i="45"/>
  <c r="K372" i="45"/>
  <c r="K377" i="45" s="1"/>
  <c r="O366" i="45"/>
  <c r="Q366" i="45" s="1"/>
  <c r="M366" i="45"/>
  <c r="K366" i="45"/>
  <c r="M365" i="45"/>
  <c r="O364" i="45"/>
  <c r="M364" i="45"/>
  <c r="K364" i="45"/>
  <c r="O363" i="45"/>
  <c r="M363" i="45"/>
  <c r="K363" i="45"/>
  <c r="K359" i="45"/>
  <c r="M357" i="45"/>
  <c r="K357" i="45"/>
  <c r="K391" i="45" s="1"/>
  <c r="O356" i="45"/>
  <c r="M356" i="45"/>
  <c r="K356" i="45"/>
  <c r="O355" i="45"/>
  <c r="M355" i="45"/>
  <c r="K355" i="45"/>
  <c r="M354" i="45"/>
  <c r="O341" i="45"/>
  <c r="M341" i="45"/>
  <c r="K341" i="45"/>
  <c r="Q339" i="45"/>
  <c r="Q338" i="45"/>
  <c r="Q337" i="45"/>
  <c r="Q341" i="45" s="1"/>
  <c r="Q336" i="45"/>
  <c r="M332" i="45"/>
  <c r="K332" i="45"/>
  <c r="Q330" i="45"/>
  <c r="K329" i="45"/>
  <c r="O332" i="45" s="1"/>
  <c r="O343" i="45" s="1"/>
  <c r="Q328" i="45"/>
  <c r="Q327" i="45"/>
  <c r="M323" i="45"/>
  <c r="K323" i="45"/>
  <c r="K343" i="45" s="1"/>
  <c r="O321" i="45"/>
  <c r="Q321" i="45" s="1"/>
  <c r="O320" i="45"/>
  <c r="Q320" i="45" s="1"/>
  <c r="Q319" i="45"/>
  <c r="O319" i="45"/>
  <c r="Q318" i="45"/>
  <c r="Q323" i="45" s="1"/>
  <c r="O318" i="45"/>
  <c r="O323" i="45" s="1"/>
  <c r="O305" i="45"/>
  <c r="M305" i="45"/>
  <c r="K305" i="45"/>
  <c r="Q303" i="45"/>
  <c r="Q302" i="45"/>
  <c r="Q301" i="45"/>
  <c r="Q300" i="45"/>
  <c r="Q305" i="45" s="1"/>
  <c r="M296" i="45"/>
  <c r="Q294" i="45"/>
  <c r="K293" i="45"/>
  <c r="Q292" i="45"/>
  <c r="Q291" i="45"/>
  <c r="M287" i="45"/>
  <c r="O285" i="45"/>
  <c r="Q285" i="45" s="1"/>
  <c r="O284" i="45"/>
  <c r="Q284" i="45" s="1"/>
  <c r="O283" i="45"/>
  <c r="Q283" i="45" s="1"/>
  <c r="K282" i="45"/>
  <c r="K287" i="45" s="1"/>
  <c r="O269" i="45"/>
  <c r="M269" i="45"/>
  <c r="K269" i="45"/>
  <c r="Q267" i="45"/>
  <c r="Q266" i="45"/>
  <c r="Q265" i="45"/>
  <c r="Q269" i="45" s="1"/>
  <c r="Q264" i="45"/>
  <c r="M260" i="45"/>
  <c r="K260" i="45"/>
  <c r="Q258" i="45"/>
  <c r="K257" i="45"/>
  <c r="Q256" i="45"/>
  <c r="Q255" i="45"/>
  <c r="M251" i="45"/>
  <c r="O249" i="45"/>
  <c r="Q249" i="45" s="1"/>
  <c r="Q248" i="45"/>
  <c r="O248" i="45"/>
  <c r="Q247" i="45"/>
  <c r="O247" i="45"/>
  <c r="K246" i="45"/>
  <c r="K354" i="45" s="1"/>
  <c r="K388" i="45" s="1"/>
  <c r="Q233" i="45"/>
  <c r="O233" i="45"/>
  <c r="M233" i="45"/>
  <c r="K233" i="45"/>
  <c r="Q231" i="45"/>
  <c r="Q230" i="45"/>
  <c r="Q229" i="45"/>
  <c r="Q228" i="45"/>
  <c r="O224" i="45"/>
  <c r="M224" i="45"/>
  <c r="K224" i="45"/>
  <c r="Q222" i="45"/>
  <c r="Q220" i="45"/>
  <c r="Q219" i="45"/>
  <c r="M215" i="45"/>
  <c r="K215" i="45"/>
  <c r="K235" i="45" s="1"/>
  <c r="O213" i="45"/>
  <c r="Q213" i="45" s="1"/>
  <c r="O212" i="45"/>
  <c r="Q212" i="45" s="1"/>
  <c r="Q211" i="45"/>
  <c r="O211" i="45"/>
  <c r="O210" i="45"/>
  <c r="O197" i="45"/>
  <c r="M197" i="45"/>
  <c r="K197" i="45"/>
  <c r="Q195" i="45"/>
  <c r="Q194" i="45"/>
  <c r="Q193" i="45"/>
  <c r="Q192" i="45"/>
  <c r="Q197" i="45" s="1"/>
  <c r="M188" i="45"/>
  <c r="Q186" i="45"/>
  <c r="K185" i="45"/>
  <c r="Q184" i="45"/>
  <c r="Q183" i="45"/>
  <c r="M179" i="45"/>
  <c r="Q177" i="45"/>
  <c r="O177" i="45"/>
  <c r="O176" i="45"/>
  <c r="Q176" i="45" s="1"/>
  <c r="O175" i="45"/>
  <c r="Q175" i="45" s="1"/>
  <c r="K174" i="45"/>
  <c r="K179" i="45" s="1"/>
  <c r="K163" i="45"/>
  <c r="O161" i="45"/>
  <c r="M161" i="45"/>
  <c r="K161" i="45"/>
  <c r="Q159" i="45"/>
  <c r="Q158" i="45"/>
  <c r="Q157" i="45"/>
  <c r="Q156" i="45"/>
  <c r="M152" i="45"/>
  <c r="K152" i="45"/>
  <c r="Q150" i="45"/>
  <c r="Q148" i="45"/>
  <c r="Q147" i="45"/>
  <c r="M143" i="45"/>
  <c r="K143" i="45"/>
  <c r="Q141" i="45"/>
  <c r="O141" i="45"/>
  <c r="Q140" i="45"/>
  <c r="O140" i="45"/>
  <c r="O139" i="45"/>
  <c r="Q139" i="45" s="1"/>
  <c r="M106" i="45"/>
  <c r="M105" i="45"/>
  <c r="M104" i="45"/>
  <c r="M103" i="45"/>
  <c r="O91" i="45"/>
  <c r="M91" i="45"/>
  <c r="K91" i="45"/>
  <c r="O90" i="45"/>
  <c r="M90" i="45"/>
  <c r="Q89" i="45"/>
  <c r="O89" i="45"/>
  <c r="M89" i="45"/>
  <c r="O88" i="45"/>
  <c r="M88" i="45"/>
  <c r="M82" i="45"/>
  <c r="M81" i="45"/>
  <c r="M80" i="45"/>
  <c r="K80" i="45"/>
  <c r="M79" i="45"/>
  <c r="M73" i="45"/>
  <c r="M72" i="45"/>
  <c r="M71" i="45"/>
  <c r="M70" i="45"/>
  <c r="O57" i="45"/>
  <c r="O59" i="45" s="1"/>
  <c r="M57" i="45"/>
  <c r="M59" i="45" s="1"/>
  <c r="K57" i="45"/>
  <c r="K59" i="45" s="1"/>
  <c r="O39" i="45"/>
  <c r="M39" i="45"/>
  <c r="K37" i="45"/>
  <c r="K35" i="45"/>
  <c r="K89" i="45" s="1"/>
  <c r="C35" i="45"/>
  <c r="C36" i="45" s="1"/>
  <c r="C37" i="45" s="1"/>
  <c r="C39" i="45" s="1"/>
  <c r="C41" i="45" s="1"/>
  <c r="C50" i="45" s="1"/>
  <c r="C52" i="45" s="1"/>
  <c r="C53" i="45" s="1"/>
  <c r="C54" i="45" s="1"/>
  <c r="C55" i="45" s="1"/>
  <c r="C57" i="45" s="1"/>
  <c r="C59" i="45" s="1"/>
  <c r="C68" i="45" s="1"/>
  <c r="C70" i="45" s="1"/>
  <c r="C71" i="45" s="1"/>
  <c r="C72" i="45" s="1"/>
  <c r="C73" i="45" s="1"/>
  <c r="C75" i="45" s="1"/>
  <c r="C77" i="45" s="1"/>
  <c r="C79" i="45" s="1"/>
  <c r="C80" i="45" s="1"/>
  <c r="C81" i="45" s="1"/>
  <c r="C82" i="45" s="1"/>
  <c r="C84" i="45" s="1"/>
  <c r="C86" i="45" s="1"/>
  <c r="C88" i="45" s="1"/>
  <c r="C89" i="45" s="1"/>
  <c r="C90" i="45" s="1"/>
  <c r="C91" i="45" s="1"/>
  <c r="C93" i="45" s="1"/>
  <c r="C95" i="45" s="1"/>
  <c r="C103" i="45" s="1"/>
  <c r="C104" i="45" s="1"/>
  <c r="C105" i="45" s="1"/>
  <c r="C106" i="45" s="1"/>
  <c r="C108" i="45" s="1"/>
  <c r="C110" i="45" s="1"/>
  <c r="C112" i="45" s="1"/>
  <c r="C121" i="45" s="1"/>
  <c r="C122" i="45" s="1"/>
  <c r="C124" i="45" s="1"/>
  <c r="C136" i="45" s="1"/>
  <c r="C138" i="45" s="1"/>
  <c r="C139" i="45" s="1"/>
  <c r="C140" i="45" s="1"/>
  <c r="C141" i="45" s="1"/>
  <c r="C143" i="45" s="1"/>
  <c r="C145" i="45" s="1"/>
  <c r="C147" i="45" s="1"/>
  <c r="C148" i="45" s="1"/>
  <c r="C149" i="45" s="1"/>
  <c r="C150" i="45" s="1"/>
  <c r="C152" i="45" s="1"/>
  <c r="C154" i="45" s="1"/>
  <c r="C156" i="45" s="1"/>
  <c r="C157" i="45" s="1"/>
  <c r="C158" i="45" s="1"/>
  <c r="C159" i="45" s="1"/>
  <c r="C161" i="45" s="1"/>
  <c r="C163" i="45" s="1"/>
  <c r="C172" i="45" s="1"/>
  <c r="C174" i="45" s="1"/>
  <c r="C175" i="45" s="1"/>
  <c r="C176" i="45" s="1"/>
  <c r="C177" i="45" s="1"/>
  <c r="C179" i="45" s="1"/>
  <c r="C181" i="45" s="1"/>
  <c r="C183" i="45" s="1"/>
  <c r="C184" i="45" s="1"/>
  <c r="C185" i="45" s="1"/>
  <c r="C186" i="45" s="1"/>
  <c r="C188" i="45" s="1"/>
  <c r="C190" i="45" s="1"/>
  <c r="C192" i="45" s="1"/>
  <c r="C193" i="45" s="1"/>
  <c r="C194" i="45" s="1"/>
  <c r="C195" i="45" s="1"/>
  <c r="C197" i="45" s="1"/>
  <c r="C199" i="45" s="1"/>
  <c r="C208" i="45" s="1"/>
  <c r="C210" i="45" s="1"/>
  <c r="C211" i="45" s="1"/>
  <c r="C212" i="45" s="1"/>
  <c r="C213" i="45" s="1"/>
  <c r="C215" i="45" s="1"/>
  <c r="C217" i="45" s="1"/>
  <c r="C219" i="45" s="1"/>
  <c r="C220" i="45" s="1"/>
  <c r="C221" i="45" s="1"/>
  <c r="C222" i="45" s="1"/>
  <c r="C224" i="45" s="1"/>
  <c r="C226" i="45" s="1"/>
  <c r="C228" i="45" s="1"/>
  <c r="C229" i="45" s="1"/>
  <c r="C230" i="45" s="1"/>
  <c r="C231" i="45" s="1"/>
  <c r="C233" i="45" s="1"/>
  <c r="C235" i="45" s="1"/>
  <c r="C244" i="45" s="1"/>
  <c r="C246" i="45" s="1"/>
  <c r="C247" i="45" s="1"/>
  <c r="C248" i="45" s="1"/>
  <c r="C249" i="45" s="1"/>
  <c r="C251" i="45" s="1"/>
  <c r="C253" i="45" s="1"/>
  <c r="C255" i="45" s="1"/>
  <c r="C256" i="45" s="1"/>
  <c r="C257" i="45" s="1"/>
  <c r="C258" i="45" s="1"/>
  <c r="C260" i="45" s="1"/>
  <c r="C262" i="45" s="1"/>
  <c r="C264" i="45" s="1"/>
  <c r="C265" i="45" s="1"/>
  <c r="C266" i="45" s="1"/>
  <c r="C267" i="45" s="1"/>
  <c r="C269" i="45" s="1"/>
  <c r="C271" i="45" s="1"/>
  <c r="C280" i="45" s="1"/>
  <c r="C282" i="45" s="1"/>
  <c r="C283" i="45" s="1"/>
  <c r="C284" i="45" s="1"/>
  <c r="C285" i="45" s="1"/>
  <c r="C287" i="45" s="1"/>
  <c r="C289" i="45" s="1"/>
  <c r="C291" i="45" s="1"/>
  <c r="C292" i="45" s="1"/>
  <c r="C293" i="45" s="1"/>
  <c r="C294" i="45" s="1"/>
  <c r="C296" i="45" s="1"/>
  <c r="C298" i="45" s="1"/>
  <c r="C300" i="45" s="1"/>
  <c r="C301" i="45" s="1"/>
  <c r="C302" i="45" s="1"/>
  <c r="C303" i="45" s="1"/>
  <c r="C305" i="45" s="1"/>
  <c r="C307" i="45" s="1"/>
  <c r="C316" i="45" s="1"/>
  <c r="C318" i="45" s="1"/>
  <c r="C319" i="45" s="1"/>
  <c r="C320" i="45" s="1"/>
  <c r="C321" i="45" s="1"/>
  <c r="C323" i="45" s="1"/>
  <c r="C325" i="45" s="1"/>
  <c r="C327" i="45" s="1"/>
  <c r="C328" i="45" s="1"/>
  <c r="C329" i="45" s="1"/>
  <c r="C330" i="45" s="1"/>
  <c r="C332" i="45" s="1"/>
  <c r="C334" i="45" s="1"/>
  <c r="C336" i="45" s="1"/>
  <c r="C337" i="45" s="1"/>
  <c r="C338" i="45" s="1"/>
  <c r="C339" i="45" s="1"/>
  <c r="C341" i="45" s="1"/>
  <c r="C343" i="45" s="1"/>
  <c r="C352" i="45" s="1"/>
  <c r="C354" i="45" s="1"/>
  <c r="C355" i="45" s="1"/>
  <c r="C356" i="45" s="1"/>
  <c r="C357" i="45" s="1"/>
  <c r="C359" i="45" s="1"/>
  <c r="C361" i="45" s="1"/>
  <c r="C363" i="45" s="1"/>
  <c r="C364" i="45" s="1"/>
  <c r="C365" i="45" s="1"/>
  <c r="C366" i="45" s="1"/>
  <c r="C368" i="45" s="1"/>
  <c r="C370" i="45" s="1"/>
  <c r="C372" i="45" s="1"/>
  <c r="C373" i="45" s="1"/>
  <c r="C374" i="45" s="1"/>
  <c r="C375" i="45" s="1"/>
  <c r="C377" i="45" s="1"/>
  <c r="C379" i="45" s="1"/>
  <c r="C388" i="45" s="1"/>
  <c r="C389" i="45" s="1"/>
  <c r="C390" i="45" s="1"/>
  <c r="C391" i="45" s="1"/>
  <c r="C393" i="45" s="1"/>
  <c r="C395" i="45" s="1"/>
  <c r="C397" i="45" s="1"/>
  <c r="C406" i="45" s="1"/>
  <c r="C407" i="45" s="1"/>
  <c r="C409" i="45" s="1"/>
  <c r="C420" i="45" s="1"/>
  <c r="C421" i="45" s="1"/>
  <c r="C423" i="45" s="1"/>
  <c r="M30" i="45"/>
  <c r="K28" i="45"/>
  <c r="K26" i="45"/>
  <c r="K25" i="45"/>
  <c r="K79" i="45" s="1"/>
  <c r="M21" i="45"/>
  <c r="K18" i="45"/>
  <c r="K17" i="45"/>
  <c r="C17" i="45"/>
  <c r="C18" i="45" s="1"/>
  <c r="C19" i="45" s="1"/>
  <c r="C21" i="45" s="1"/>
  <c r="C23" i="45" s="1"/>
  <c r="C25" i="45" s="1"/>
  <c r="C26" i="45" s="1"/>
  <c r="C27" i="45" s="1"/>
  <c r="C28" i="45" s="1"/>
  <c r="C30" i="45" s="1"/>
  <c r="C32" i="45" s="1"/>
  <c r="C34" i="45" s="1"/>
  <c r="C16" i="45"/>
  <c r="O205" i="44"/>
  <c r="P205" i="44" s="1"/>
  <c r="R215" i="44"/>
  <c r="R211" i="44"/>
  <c r="N207" i="44"/>
  <c r="J207" i="44"/>
  <c r="E207" i="44"/>
  <c r="Q206" i="44"/>
  <c r="O206" i="44"/>
  <c r="Q205" i="44"/>
  <c r="F205" i="44"/>
  <c r="Q204" i="44"/>
  <c r="O204" i="44"/>
  <c r="F204" i="44"/>
  <c r="Q203" i="44"/>
  <c r="Q202" i="44"/>
  <c r="Q201" i="44"/>
  <c r="Q200" i="44"/>
  <c r="Q199" i="44"/>
  <c r="P199" i="44"/>
  <c r="O199" i="44"/>
  <c r="H199" i="44"/>
  <c r="K199" i="44" s="1"/>
  <c r="Q198" i="44"/>
  <c r="H198" i="44"/>
  <c r="K198" i="44" s="1"/>
  <c r="Q197" i="44"/>
  <c r="P197" i="44"/>
  <c r="O197" i="44"/>
  <c r="H197" i="44"/>
  <c r="K197" i="44" s="1"/>
  <c r="Q196" i="44"/>
  <c r="K196" i="44"/>
  <c r="H196" i="44"/>
  <c r="G196" i="44"/>
  <c r="G197" i="44" s="1"/>
  <c r="G198" i="44" s="1"/>
  <c r="G199" i="44" s="1"/>
  <c r="G200" i="44" s="1"/>
  <c r="G201" i="44" s="1"/>
  <c r="G202" i="44" s="1"/>
  <c r="G203" i="44" s="1"/>
  <c r="G204" i="44" s="1"/>
  <c r="G205" i="44" s="1"/>
  <c r="Q195" i="44"/>
  <c r="H195" i="44"/>
  <c r="K195" i="44" s="1"/>
  <c r="L195" i="44" s="1"/>
  <c r="L196" i="44" s="1"/>
  <c r="L193" i="44"/>
  <c r="N174" i="44"/>
  <c r="J174" i="44"/>
  <c r="E174" i="44"/>
  <c r="Q173" i="44"/>
  <c r="Q172" i="44"/>
  <c r="O172" i="44"/>
  <c r="P172" i="44" s="1"/>
  <c r="F172" i="44"/>
  <c r="Q171" i="44"/>
  <c r="P171" i="44"/>
  <c r="O171" i="44"/>
  <c r="Q170" i="44"/>
  <c r="O170" i="44"/>
  <c r="P170" i="44" s="1"/>
  <c r="Q169" i="44"/>
  <c r="O169" i="44"/>
  <c r="P169" i="44" s="1"/>
  <c r="Q168" i="44"/>
  <c r="P168" i="44"/>
  <c r="O168" i="44"/>
  <c r="Q167" i="44"/>
  <c r="O167" i="44"/>
  <c r="P167" i="44" s="1"/>
  <c r="Q166" i="44"/>
  <c r="O166" i="44"/>
  <c r="P166" i="44" s="1"/>
  <c r="K166" i="44"/>
  <c r="H166" i="44"/>
  <c r="Q165" i="44"/>
  <c r="O165" i="44"/>
  <c r="P165" i="44" s="1"/>
  <c r="H165" i="44"/>
  <c r="K165" i="44" s="1"/>
  <c r="G165" i="44"/>
  <c r="G166" i="44" s="1"/>
  <c r="G167" i="44" s="1"/>
  <c r="G168" i="44" s="1"/>
  <c r="G169" i="44" s="1"/>
  <c r="G170" i="44" s="1"/>
  <c r="G171" i="44" s="1"/>
  <c r="G172" i="44" s="1"/>
  <c r="G173" i="44" s="1"/>
  <c r="H173" i="44" s="1"/>
  <c r="K173" i="44" s="1"/>
  <c r="Q164" i="44"/>
  <c r="O164" i="44"/>
  <c r="P164" i="44" s="1"/>
  <c r="H164" i="44"/>
  <c r="K164" i="44" s="1"/>
  <c r="G164" i="44"/>
  <c r="Q163" i="44"/>
  <c r="P163" i="44"/>
  <c r="O163" i="44"/>
  <c r="H163" i="44"/>
  <c r="K163" i="44" s="1"/>
  <c r="G163" i="44"/>
  <c r="Q162" i="44"/>
  <c r="Q174" i="44" s="1"/>
  <c r="O162" i="44"/>
  <c r="K162" i="44"/>
  <c r="H162" i="44"/>
  <c r="N141" i="44"/>
  <c r="J141" i="44"/>
  <c r="E141" i="44"/>
  <c r="Q140" i="44"/>
  <c r="O140" i="44"/>
  <c r="P140" i="44" s="1"/>
  <c r="Q139" i="44"/>
  <c r="P139" i="44"/>
  <c r="O139" i="44"/>
  <c r="F139" i="44"/>
  <c r="Q138" i="44"/>
  <c r="O138" i="44"/>
  <c r="P138" i="44" s="1"/>
  <c r="Q137" i="44"/>
  <c r="P137" i="44"/>
  <c r="O137" i="44"/>
  <c r="Q136" i="44"/>
  <c r="O136" i="44"/>
  <c r="P136" i="44" s="1"/>
  <c r="G136" i="44"/>
  <c r="G137" i="44" s="1"/>
  <c r="G138" i="44" s="1"/>
  <c r="G139" i="44" s="1"/>
  <c r="G140" i="44" s="1"/>
  <c r="H140" i="44" s="1"/>
  <c r="K140" i="44" s="1"/>
  <c r="Q135" i="44"/>
  <c r="O135" i="44"/>
  <c r="P135" i="44" s="1"/>
  <c r="Q134" i="44"/>
  <c r="O134" i="44"/>
  <c r="P134" i="44" s="1"/>
  <c r="Q133" i="44"/>
  <c r="O133" i="44"/>
  <c r="P133" i="44" s="1"/>
  <c r="K133" i="44"/>
  <c r="H133" i="44"/>
  <c r="Q132" i="44"/>
  <c r="O132" i="44"/>
  <c r="P132" i="44" s="1"/>
  <c r="K132" i="44"/>
  <c r="H132" i="44"/>
  <c r="Q131" i="44"/>
  <c r="O131" i="44"/>
  <c r="H131" i="44"/>
  <c r="K131" i="44" s="1"/>
  <c r="G131" i="44"/>
  <c r="G132" i="44" s="1"/>
  <c r="G133" i="44" s="1"/>
  <c r="G134" i="44" s="1"/>
  <c r="G135" i="44" s="1"/>
  <c r="Q130" i="44"/>
  <c r="P130" i="44"/>
  <c r="O130" i="44"/>
  <c r="H130" i="44"/>
  <c r="K130" i="44" s="1"/>
  <c r="G130" i="44"/>
  <c r="Q129" i="44"/>
  <c r="P129" i="44"/>
  <c r="O129" i="44"/>
  <c r="K129" i="44"/>
  <c r="H129" i="44"/>
  <c r="L127" i="44"/>
  <c r="R102" i="44"/>
  <c r="N94" i="44"/>
  <c r="J94" i="44"/>
  <c r="E94" i="44"/>
  <c r="Q93" i="44"/>
  <c r="O93" i="44"/>
  <c r="P93" i="44" s="1"/>
  <c r="Q92" i="44"/>
  <c r="O92" i="44"/>
  <c r="P92" i="44" s="1"/>
  <c r="F92" i="44"/>
  <c r="Q91" i="44"/>
  <c r="P91" i="44"/>
  <c r="O91" i="44"/>
  <c r="Q90" i="44"/>
  <c r="O90" i="44"/>
  <c r="P90" i="44" s="1"/>
  <c r="Q89" i="44"/>
  <c r="O89" i="44"/>
  <c r="P89" i="44" s="1"/>
  <c r="Q88" i="44"/>
  <c r="O88" i="44"/>
  <c r="P88" i="44" s="1"/>
  <c r="Q87" i="44"/>
  <c r="O87" i="44"/>
  <c r="P87" i="44" s="1"/>
  <c r="Q86" i="44"/>
  <c r="O86" i="44"/>
  <c r="P86" i="44" s="1"/>
  <c r="H86" i="44"/>
  <c r="K86" i="44" s="1"/>
  <c r="Q85" i="44"/>
  <c r="O85" i="44"/>
  <c r="P85" i="44" s="1"/>
  <c r="H85" i="44"/>
  <c r="K85" i="44" s="1"/>
  <c r="G85" i="44"/>
  <c r="G86" i="44" s="1"/>
  <c r="G87" i="44" s="1"/>
  <c r="G88" i="44" s="1"/>
  <c r="G89" i="44" s="1"/>
  <c r="G90" i="44" s="1"/>
  <c r="G91" i="44" s="1"/>
  <c r="G92" i="44" s="1"/>
  <c r="G93" i="44" s="1"/>
  <c r="H93" i="44" s="1"/>
  <c r="K93" i="44" s="1"/>
  <c r="Q84" i="44"/>
  <c r="O84" i="44"/>
  <c r="P84" i="44" s="1"/>
  <c r="K84" i="44"/>
  <c r="H84" i="44"/>
  <c r="Q83" i="44"/>
  <c r="O83" i="44"/>
  <c r="P83" i="44" s="1"/>
  <c r="K83" i="44"/>
  <c r="L83" i="44" s="1"/>
  <c r="H83" i="44"/>
  <c r="G83" i="44"/>
  <c r="G84" i="44" s="1"/>
  <c r="Q82" i="44"/>
  <c r="O82" i="44"/>
  <c r="P82" i="44" s="1"/>
  <c r="R82" i="44" s="1"/>
  <c r="L82" i="44"/>
  <c r="H82" i="44"/>
  <c r="K82" i="44" s="1"/>
  <c r="L80" i="44"/>
  <c r="R65" i="44"/>
  <c r="L65" i="44"/>
  <c r="N61" i="44"/>
  <c r="E61" i="44"/>
  <c r="O60" i="44"/>
  <c r="O59" i="44"/>
  <c r="F59" i="44"/>
  <c r="O58" i="44"/>
  <c r="O57" i="44"/>
  <c r="O56" i="44"/>
  <c r="O55" i="44"/>
  <c r="O54" i="44"/>
  <c r="O53" i="44"/>
  <c r="H53" i="44"/>
  <c r="O52" i="44"/>
  <c r="H52" i="44"/>
  <c r="G52" i="44"/>
  <c r="G53" i="44" s="1"/>
  <c r="G54" i="44" s="1"/>
  <c r="G55" i="44" s="1"/>
  <c r="G56" i="44" s="1"/>
  <c r="G57" i="44" s="1"/>
  <c r="G58" i="44" s="1"/>
  <c r="G59" i="44" s="1"/>
  <c r="G60" i="44" s="1"/>
  <c r="H60" i="44" s="1"/>
  <c r="O51" i="44"/>
  <c r="H51" i="44"/>
  <c r="G51" i="44"/>
  <c r="O50" i="44"/>
  <c r="H50" i="44"/>
  <c r="G50" i="44"/>
  <c r="O49" i="44"/>
  <c r="H49" i="44"/>
  <c r="R36" i="44"/>
  <c r="N28" i="44"/>
  <c r="J28" i="44"/>
  <c r="E28" i="44"/>
  <c r="Q27" i="44"/>
  <c r="O27" i="44"/>
  <c r="P27" i="44" s="1"/>
  <c r="Q26" i="44"/>
  <c r="P26" i="44"/>
  <c r="O26" i="44"/>
  <c r="F26" i="44"/>
  <c r="Q25" i="44"/>
  <c r="P25" i="44"/>
  <c r="O25" i="44"/>
  <c r="F25" i="44"/>
  <c r="Q24" i="44"/>
  <c r="P24" i="44"/>
  <c r="O24" i="44"/>
  <c r="Q23" i="44"/>
  <c r="O23" i="44"/>
  <c r="P23" i="44" s="1"/>
  <c r="Q22" i="44"/>
  <c r="P22" i="44"/>
  <c r="O22" i="44"/>
  <c r="Q21" i="44"/>
  <c r="O21" i="44"/>
  <c r="P21" i="44" s="1"/>
  <c r="Q20" i="44"/>
  <c r="O20" i="44"/>
  <c r="P20" i="44" s="1"/>
  <c r="H20" i="44"/>
  <c r="K20" i="44" s="1"/>
  <c r="Q19" i="44"/>
  <c r="O19" i="44"/>
  <c r="P19" i="44" s="1"/>
  <c r="K19" i="44"/>
  <c r="H19" i="44"/>
  <c r="Q18" i="44"/>
  <c r="P18" i="44"/>
  <c r="O18" i="44"/>
  <c r="H18" i="44"/>
  <c r="K18" i="44" s="1"/>
  <c r="B18" i="44"/>
  <c r="B19" i="44" s="1"/>
  <c r="B20" i="44" s="1"/>
  <c r="B21" i="44" s="1"/>
  <c r="B22" i="44" s="1"/>
  <c r="B23" i="44" s="1"/>
  <c r="B24" i="44" s="1"/>
  <c r="B25" i="44" s="1"/>
  <c r="B26" i="44" s="1"/>
  <c r="B27" i="44" s="1"/>
  <c r="Q17" i="44"/>
  <c r="P17" i="44"/>
  <c r="O17" i="44"/>
  <c r="H17" i="44"/>
  <c r="K17" i="44" s="1"/>
  <c r="G17" i="44"/>
  <c r="G18" i="44" s="1"/>
  <c r="G19" i="44" s="1"/>
  <c r="G20" i="44" s="1"/>
  <c r="G21" i="44" s="1"/>
  <c r="G22" i="44" s="1"/>
  <c r="G23" i="44" s="1"/>
  <c r="G24" i="44" s="1"/>
  <c r="G25" i="44" s="1"/>
  <c r="G26" i="44" s="1"/>
  <c r="Q16" i="44"/>
  <c r="R16" i="44" s="1"/>
  <c r="P16" i="44"/>
  <c r="O16" i="44"/>
  <c r="K16" i="44"/>
  <c r="H16" i="44"/>
  <c r="B16" i="44"/>
  <c r="B17" i="44" s="1"/>
  <c r="I312" i="42"/>
  <c r="H312" i="42"/>
  <c r="G312" i="42"/>
  <c r="G318" i="42" s="1"/>
  <c r="F312" i="42"/>
  <c r="F318" i="42" s="1"/>
  <c r="E312" i="42"/>
  <c r="I288" i="42"/>
  <c r="I292" i="42" s="1"/>
  <c r="H288" i="42"/>
  <c r="G288" i="42"/>
  <c r="G292" i="42" s="1"/>
  <c r="G298" i="42" s="1"/>
  <c r="G15" i="42" s="1"/>
  <c r="F288" i="42"/>
  <c r="F292" i="42" s="1"/>
  <c r="F298" i="42" s="1"/>
  <c r="E288" i="42"/>
  <c r="I241" i="42"/>
  <c r="H241" i="42"/>
  <c r="H263" i="42" s="1"/>
  <c r="G241" i="42"/>
  <c r="G263" i="42" s="1"/>
  <c r="F241" i="42"/>
  <c r="F263" i="42" s="1"/>
  <c r="E241" i="42"/>
  <c r="E248" i="42" s="1"/>
  <c r="E219" i="42"/>
  <c r="E218" i="42"/>
  <c r="E217" i="42"/>
  <c r="E216" i="42"/>
  <c r="I214" i="42"/>
  <c r="I262" i="42" s="1"/>
  <c r="H214" i="42"/>
  <c r="H262" i="42" s="1"/>
  <c r="H264" i="42" s="1"/>
  <c r="G214" i="42"/>
  <c r="G221" i="42" s="1"/>
  <c r="G227" i="42" s="1"/>
  <c r="G14" i="42" s="1"/>
  <c r="F214" i="42"/>
  <c r="E213" i="42"/>
  <c r="E212" i="42"/>
  <c r="E211" i="42"/>
  <c r="E210" i="42"/>
  <c r="E209" i="42"/>
  <c r="E208" i="42"/>
  <c r="E207" i="42"/>
  <c r="I168" i="42"/>
  <c r="I189" i="42" s="1"/>
  <c r="H168" i="42"/>
  <c r="H175" i="42" s="1"/>
  <c r="G168" i="42"/>
  <c r="G189" i="42" s="1"/>
  <c r="F168" i="42"/>
  <c r="F189" i="42" s="1"/>
  <c r="E161" i="42"/>
  <c r="E168" i="42" s="1"/>
  <c r="E175" i="42" s="1"/>
  <c r="I141" i="42"/>
  <c r="I188" i="42" s="1"/>
  <c r="G141" i="42"/>
  <c r="G188" i="42" s="1"/>
  <c r="F141" i="42"/>
  <c r="H141" i="42"/>
  <c r="H188" i="42" s="1"/>
  <c r="I97" i="42"/>
  <c r="H97" i="42"/>
  <c r="H118" i="42" s="1"/>
  <c r="G97" i="42"/>
  <c r="G118" i="42" s="1"/>
  <c r="F97" i="42"/>
  <c r="F118" i="42" s="1"/>
  <c r="E97" i="42"/>
  <c r="E104" i="42" s="1"/>
  <c r="E72" i="42"/>
  <c r="I70" i="42"/>
  <c r="I117" i="42" s="1"/>
  <c r="H70" i="42"/>
  <c r="H117" i="42" s="1"/>
  <c r="G70" i="42"/>
  <c r="G117" i="42" s="1"/>
  <c r="F70" i="42"/>
  <c r="B17" i="42"/>
  <c r="B22" i="42" s="1"/>
  <c r="E12" i="42"/>
  <c r="B12" i="42"/>
  <c r="B13" i="42" s="1"/>
  <c r="B14" i="42" s="1"/>
  <c r="B15" i="42" s="1"/>
  <c r="E177" i="41"/>
  <c r="R166" i="41"/>
  <c r="L166" i="41"/>
  <c r="R162" i="41"/>
  <c r="L162" i="41"/>
  <c r="L168" i="41" s="1"/>
  <c r="N158" i="41"/>
  <c r="J158" i="41"/>
  <c r="E158" i="41"/>
  <c r="Q157" i="41"/>
  <c r="O157" i="41"/>
  <c r="P157" i="41" s="1"/>
  <c r="Q156" i="41"/>
  <c r="O156" i="41"/>
  <c r="P156" i="41" s="1"/>
  <c r="F156" i="41"/>
  <c r="Q155" i="41"/>
  <c r="P155" i="41"/>
  <c r="O155" i="41"/>
  <c r="Q154" i="41"/>
  <c r="P154" i="41"/>
  <c r="O154" i="41"/>
  <c r="Q153" i="41"/>
  <c r="O153" i="41"/>
  <c r="P153" i="41" s="1"/>
  <c r="Q152" i="41"/>
  <c r="P152" i="41"/>
  <c r="O152" i="41"/>
  <c r="Q151" i="41"/>
  <c r="O151" i="41"/>
  <c r="P151" i="41" s="1"/>
  <c r="Q150" i="41"/>
  <c r="P150" i="41"/>
  <c r="O150" i="41"/>
  <c r="K150" i="41"/>
  <c r="H150" i="41"/>
  <c r="Q149" i="41"/>
  <c r="O149" i="41"/>
  <c r="P149" i="41" s="1"/>
  <c r="K149" i="41"/>
  <c r="H149" i="41"/>
  <c r="Q148" i="41"/>
  <c r="P148" i="41"/>
  <c r="O148" i="41"/>
  <c r="H148" i="41"/>
  <c r="K148" i="41" s="1"/>
  <c r="G148" i="41"/>
  <c r="G149" i="41" s="1"/>
  <c r="G150" i="41" s="1"/>
  <c r="G151" i="41" s="1"/>
  <c r="G152" i="41" s="1"/>
  <c r="G153" i="41" s="1"/>
  <c r="G154" i="41" s="1"/>
  <c r="G155" i="41" s="1"/>
  <c r="G156" i="41" s="1"/>
  <c r="G157" i="41" s="1"/>
  <c r="H157" i="41" s="1"/>
  <c r="K157" i="41" s="1"/>
  <c r="Q147" i="41"/>
  <c r="O147" i="41"/>
  <c r="P147" i="41" s="1"/>
  <c r="K147" i="41"/>
  <c r="H147" i="41"/>
  <c r="G147" i="41"/>
  <c r="Q146" i="41"/>
  <c r="Q158" i="41" s="1"/>
  <c r="O146" i="41"/>
  <c r="P146" i="41" s="1"/>
  <c r="K146" i="41"/>
  <c r="H146" i="41"/>
  <c r="R129" i="41"/>
  <c r="N125" i="41"/>
  <c r="J125" i="41"/>
  <c r="E125" i="41"/>
  <c r="Q124" i="41"/>
  <c r="O124" i="41"/>
  <c r="P124" i="41" s="1"/>
  <c r="Q123" i="41"/>
  <c r="O123" i="41"/>
  <c r="P123" i="41" s="1"/>
  <c r="F123" i="41"/>
  <c r="Q122" i="41"/>
  <c r="P122" i="41"/>
  <c r="O122" i="41"/>
  <c r="F122" i="41"/>
  <c r="Q121" i="41"/>
  <c r="O121" i="41"/>
  <c r="P121" i="41" s="1"/>
  <c r="Q120" i="41"/>
  <c r="O120" i="41"/>
  <c r="P120" i="41" s="1"/>
  <c r="Q119" i="41"/>
  <c r="P119" i="41"/>
  <c r="O119" i="41"/>
  <c r="Q118" i="41"/>
  <c r="O118" i="41"/>
  <c r="P118" i="41" s="1"/>
  <c r="Q117" i="41"/>
  <c r="O117" i="41"/>
  <c r="P117" i="41" s="1"/>
  <c r="H117" i="41"/>
  <c r="K117" i="41" s="1"/>
  <c r="G117" i="41"/>
  <c r="G118" i="41" s="1"/>
  <c r="G119" i="41" s="1"/>
  <c r="G120" i="41" s="1"/>
  <c r="G121" i="41" s="1"/>
  <c r="G122" i="41" s="1"/>
  <c r="G123" i="41" s="1"/>
  <c r="Q116" i="41"/>
  <c r="O116" i="41"/>
  <c r="P116" i="41" s="1"/>
  <c r="K116" i="41"/>
  <c r="H116" i="41"/>
  <c r="Q115" i="41"/>
  <c r="Q125" i="41" s="1"/>
  <c r="O115" i="41"/>
  <c r="P115" i="41" s="1"/>
  <c r="K115" i="41"/>
  <c r="L115" i="41" s="1"/>
  <c r="H115" i="41"/>
  <c r="Q114" i="41"/>
  <c r="O114" i="41"/>
  <c r="P114" i="41" s="1"/>
  <c r="K114" i="41"/>
  <c r="H114" i="41"/>
  <c r="G114" i="41"/>
  <c r="G115" i="41" s="1"/>
  <c r="G116" i="41" s="1"/>
  <c r="Q113" i="41"/>
  <c r="O113" i="41"/>
  <c r="P113" i="41" s="1"/>
  <c r="R113" i="41" s="1"/>
  <c r="H113" i="41"/>
  <c r="K113" i="41" s="1"/>
  <c r="L113" i="41" s="1"/>
  <c r="L114" i="41" s="1"/>
  <c r="R96" i="41"/>
  <c r="N92" i="41"/>
  <c r="E92" i="41"/>
  <c r="O91" i="41"/>
  <c r="O90" i="41"/>
  <c r="F90" i="41"/>
  <c r="O89" i="41"/>
  <c r="O88" i="41"/>
  <c r="O87" i="41"/>
  <c r="O86" i="41"/>
  <c r="O85" i="41"/>
  <c r="O84" i="41"/>
  <c r="H84" i="41"/>
  <c r="O83" i="41"/>
  <c r="H83" i="41"/>
  <c r="G83" i="41"/>
  <c r="G84" i="41" s="1"/>
  <c r="G85" i="41" s="1"/>
  <c r="G86" i="41" s="1"/>
  <c r="G87" i="41" s="1"/>
  <c r="G88" i="41" s="1"/>
  <c r="G89" i="41" s="1"/>
  <c r="G90" i="41" s="1"/>
  <c r="G91" i="41" s="1"/>
  <c r="H91" i="41" s="1"/>
  <c r="O82" i="41"/>
  <c r="H82" i="41"/>
  <c r="G82" i="41"/>
  <c r="O81" i="41"/>
  <c r="H81" i="41"/>
  <c r="G81" i="41"/>
  <c r="O80" i="41"/>
  <c r="H80" i="41"/>
  <c r="R69" i="41"/>
  <c r="R67" i="41"/>
  <c r="L67" i="41"/>
  <c r="R63" i="41"/>
  <c r="L63" i="41"/>
  <c r="L69" i="41" s="1"/>
  <c r="N59" i="41"/>
  <c r="J59" i="41"/>
  <c r="E59" i="41"/>
  <c r="Q58" i="41"/>
  <c r="O58" i="41"/>
  <c r="P58" i="41" s="1"/>
  <c r="Q57" i="41"/>
  <c r="O57" i="41"/>
  <c r="P57" i="41" s="1"/>
  <c r="F57" i="41"/>
  <c r="Q56" i="41"/>
  <c r="O56" i="41"/>
  <c r="P56" i="41" s="1"/>
  <c r="F56" i="41"/>
  <c r="Q55" i="41"/>
  <c r="O55" i="41"/>
  <c r="P55" i="41" s="1"/>
  <c r="Q54" i="41"/>
  <c r="O54" i="41"/>
  <c r="P54" i="41" s="1"/>
  <c r="Q53" i="41"/>
  <c r="O53" i="41"/>
  <c r="P53" i="41" s="1"/>
  <c r="Q52" i="41"/>
  <c r="O52" i="41"/>
  <c r="P52" i="41" s="1"/>
  <c r="Q51" i="41"/>
  <c r="O51" i="41"/>
  <c r="P51" i="41" s="1"/>
  <c r="H51" i="41"/>
  <c r="K51" i="41" s="1"/>
  <c r="Q50" i="41"/>
  <c r="O50" i="41"/>
  <c r="P50" i="41" s="1"/>
  <c r="H50" i="41"/>
  <c r="K50" i="41" s="1"/>
  <c r="Q49" i="41"/>
  <c r="O49" i="41"/>
  <c r="P49" i="41" s="1"/>
  <c r="K49" i="41"/>
  <c r="H49" i="41"/>
  <c r="Q48" i="41"/>
  <c r="O48" i="41"/>
  <c r="P48" i="41" s="1"/>
  <c r="K48" i="41"/>
  <c r="H48" i="41"/>
  <c r="G48" i="41"/>
  <c r="G49" i="41" s="1"/>
  <c r="G50" i="41" s="1"/>
  <c r="G51" i="41" s="1"/>
  <c r="G52" i="41" s="1"/>
  <c r="G53" i="41" s="1"/>
  <c r="G54" i="41" s="1"/>
  <c r="G55" i="41" s="1"/>
  <c r="G56" i="41" s="1"/>
  <c r="G57" i="41" s="1"/>
  <c r="Q47" i="41"/>
  <c r="Q59" i="41" s="1"/>
  <c r="O47" i="41"/>
  <c r="P47" i="41" s="1"/>
  <c r="R47" i="41" s="1"/>
  <c r="H47" i="41"/>
  <c r="K47" i="41" s="1"/>
  <c r="R30" i="41"/>
  <c r="N26" i="41"/>
  <c r="J26" i="41"/>
  <c r="E26" i="41"/>
  <c r="Q25" i="41"/>
  <c r="O25" i="41"/>
  <c r="P25" i="41" s="1"/>
  <c r="Q24" i="41"/>
  <c r="O24" i="41"/>
  <c r="P24" i="41" s="1"/>
  <c r="F24" i="41"/>
  <c r="Q23" i="41"/>
  <c r="P23" i="41"/>
  <c r="O23" i="41"/>
  <c r="F23" i="41"/>
  <c r="Q22" i="41"/>
  <c r="O22" i="41"/>
  <c r="P22" i="41" s="1"/>
  <c r="Q21" i="41"/>
  <c r="P21" i="41"/>
  <c r="O21" i="41"/>
  <c r="Q20" i="41"/>
  <c r="O20" i="41"/>
  <c r="P20" i="41" s="1"/>
  <c r="Q19" i="41"/>
  <c r="O19" i="41"/>
  <c r="P19" i="41" s="1"/>
  <c r="Q18" i="41"/>
  <c r="O18" i="41"/>
  <c r="P18" i="41" s="1"/>
  <c r="K18" i="41"/>
  <c r="H18" i="41"/>
  <c r="Q17" i="41"/>
  <c r="O17" i="41"/>
  <c r="P17" i="41" s="1"/>
  <c r="K17" i="41"/>
  <c r="H17" i="41"/>
  <c r="Q16" i="41"/>
  <c r="O16" i="41"/>
  <c r="P16" i="41" s="1"/>
  <c r="H16" i="41"/>
  <c r="K16" i="41" s="1"/>
  <c r="G16" i="41"/>
  <c r="G17" i="41" s="1"/>
  <c r="G18" i="41" s="1"/>
  <c r="G19" i="41" s="1"/>
  <c r="G20" i="41" s="1"/>
  <c r="G21" i="41" s="1"/>
  <c r="G22" i="41" s="1"/>
  <c r="G23" i="41" s="1"/>
  <c r="G24" i="41" s="1"/>
  <c r="Q15" i="41"/>
  <c r="O15" i="41"/>
  <c r="P15" i="41" s="1"/>
  <c r="H15" i="41"/>
  <c r="K15" i="41" s="1"/>
  <c r="G15" i="41"/>
  <c r="Q14" i="41"/>
  <c r="Q26" i="41" s="1"/>
  <c r="O14" i="41"/>
  <c r="P14" i="41" s="1"/>
  <c r="K14" i="41"/>
  <c r="H14" i="41"/>
  <c r="B14" i="41"/>
  <c r="B15" i="41" s="1"/>
  <c r="B16" i="41" s="1"/>
  <c r="B17" i="41" s="1"/>
  <c r="B18" i="41" s="1"/>
  <c r="B19" i="41" s="1"/>
  <c r="B20" i="41" s="1"/>
  <c r="B21" i="41" s="1"/>
  <c r="B22" i="41" s="1"/>
  <c r="B23" i="41" s="1"/>
  <c r="B24" i="41" s="1"/>
  <c r="B25" i="41" s="1"/>
  <c r="R217" i="44" l="1"/>
  <c r="R83" i="44"/>
  <c r="R84" i="44" s="1"/>
  <c r="R85" i="44" s="1"/>
  <c r="R86" i="44" s="1"/>
  <c r="R87" i="44" s="1"/>
  <c r="R88" i="44" s="1"/>
  <c r="R89" i="44" s="1"/>
  <c r="R90" i="44" s="1"/>
  <c r="R91" i="44" s="1"/>
  <c r="R92" i="44" s="1"/>
  <c r="R93" i="44" s="1"/>
  <c r="R105" i="44" s="1"/>
  <c r="D95" i="1"/>
  <c r="D96" i="1" s="1"/>
  <c r="D97" i="1" s="1"/>
  <c r="D98" i="1" s="1"/>
  <c r="D103" i="1"/>
  <c r="D102" i="1"/>
  <c r="F104" i="42"/>
  <c r="F110" i="42" s="1"/>
  <c r="L16" i="44"/>
  <c r="Q54" i="44"/>
  <c r="Q60" i="44"/>
  <c r="Q59" i="44"/>
  <c r="Q58" i="44"/>
  <c r="R48" i="41"/>
  <c r="R49" i="41" s="1"/>
  <c r="R50" i="41" s="1"/>
  <c r="R51" i="41" s="1"/>
  <c r="R52" i="41" s="1"/>
  <c r="R53" i="41" s="1"/>
  <c r="R54" i="41" s="1"/>
  <c r="R55" i="41" s="1"/>
  <c r="R56" i="41" s="1"/>
  <c r="R57" i="41" s="1"/>
  <c r="R58" i="41" s="1"/>
  <c r="R70" i="41" s="1"/>
  <c r="R71" i="41" s="1"/>
  <c r="H95" i="1" s="1"/>
  <c r="H292" i="42"/>
  <c r="E292" i="42"/>
  <c r="G13" i="9"/>
  <c r="G190" i="42"/>
  <c r="O141" i="44"/>
  <c r="M271" i="45"/>
  <c r="M199" i="45"/>
  <c r="L178" i="44"/>
  <c r="R178" i="44"/>
  <c r="M359" i="45"/>
  <c r="R145" i="44"/>
  <c r="R98" i="44"/>
  <c r="R104" i="44" s="1"/>
  <c r="R106" i="44" s="1"/>
  <c r="N115" i="44" s="1"/>
  <c r="L32" i="44"/>
  <c r="R32" i="44"/>
  <c r="R38" i="44" s="1"/>
  <c r="P26" i="41"/>
  <c r="R114" i="41"/>
  <c r="R115" i="41" s="1"/>
  <c r="R116" i="41" s="1"/>
  <c r="R117" i="41" s="1"/>
  <c r="R118" i="41" s="1"/>
  <c r="R119" i="41" s="1"/>
  <c r="R120" i="41" s="1"/>
  <c r="R121" i="41" s="1"/>
  <c r="R122" i="41" s="1"/>
  <c r="R123" i="41" s="1"/>
  <c r="R124" i="41" s="1"/>
  <c r="R136" i="41" s="1"/>
  <c r="P131" i="44"/>
  <c r="O195" i="44"/>
  <c r="P195" i="44" s="1"/>
  <c r="R195" i="44" s="1"/>
  <c r="O201" i="44"/>
  <c r="P201" i="44" s="1"/>
  <c r="R17" i="44"/>
  <c r="R18" i="44" s="1"/>
  <c r="R19" i="44" s="1"/>
  <c r="R20" i="44" s="1"/>
  <c r="R21" i="44" s="1"/>
  <c r="R22" i="44" s="1"/>
  <c r="R23" i="44" s="1"/>
  <c r="R24" i="44" s="1"/>
  <c r="R25" i="44" s="1"/>
  <c r="R26" i="44" s="1"/>
  <c r="R27" i="44" s="1"/>
  <c r="R39" i="44" s="1"/>
  <c r="R40" i="44" s="1"/>
  <c r="N113" i="44" s="1"/>
  <c r="P206" i="44"/>
  <c r="E237" i="44"/>
  <c r="O202" i="44"/>
  <c r="P204" i="44"/>
  <c r="O26" i="41"/>
  <c r="O59" i="41"/>
  <c r="O158" i="41"/>
  <c r="P162" i="44"/>
  <c r="R162" i="44" s="1"/>
  <c r="R163" i="44" s="1"/>
  <c r="R164" i="44" s="1"/>
  <c r="R165" i="44" s="1"/>
  <c r="R166" i="44" s="1"/>
  <c r="R167" i="44" s="1"/>
  <c r="R168" i="44" s="1"/>
  <c r="R169" i="44" s="1"/>
  <c r="R170" i="44" s="1"/>
  <c r="R171" i="44" s="1"/>
  <c r="R172" i="44" s="1"/>
  <c r="R173" i="44" s="1"/>
  <c r="R185" i="44" s="1"/>
  <c r="P202" i="44"/>
  <c r="O173" i="44"/>
  <c r="P173" i="44" s="1"/>
  <c r="O200" i="44"/>
  <c r="P59" i="41"/>
  <c r="O94" i="44"/>
  <c r="O196" i="44"/>
  <c r="P196" i="44" s="1"/>
  <c r="O198" i="44"/>
  <c r="P198" i="44" s="1"/>
  <c r="P200" i="44"/>
  <c r="O203" i="44"/>
  <c r="P203" i="44" s="1"/>
  <c r="G104" i="42"/>
  <c r="G110" i="42" s="1"/>
  <c r="F248" i="42"/>
  <c r="F254" i="42" s="1"/>
  <c r="F175" i="42"/>
  <c r="F181" i="42" s="1"/>
  <c r="G248" i="42"/>
  <c r="G254" i="42" s="1"/>
  <c r="Q56" i="44"/>
  <c r="Q57" i="44"/>
  <c r="Q50" i="44"/>
  <c r="Q55" i="44"/>
  <c r="Q51" i="44"/>
  <c r="Q52" i="44"/>
  <c r="K52" i="44"/>
  <c r="P52" i="44" s="1"/>
  <c r="H221" i="42"/>
  <c r="I221" i="42"/>
  <c r="I190" i="42"/>
  <c r="I175" i="42"/>
  <c r="I148" i="42"/>
  <c r="F148" i="42"/>
  <c r="F154" i="42" s="1"/>
  <c r="F13" i="42" s="1"/>
  <c r="H77" i="42"/>
  <c r="O92" i="41"/>
  <c r="E214" i="42"/>
  <c r="E221" i="42" s="1"/>
  <c r="G262" i="42"/>
  <c r="G264" i="42" s="1"/>
  <c r="G148" i="42"/>
  <c r="G154" i="42" s="1"/>
  <c r="G13" i="42" s="1"/>
  <c r="E70" i="42"/>
  <c r="E75" i="42"/>
  <c r="O61" i="44"/>
  <c r="M343" i="45"/>
  <c r="Q224" i="45"/>
  <c r="M163" i="45"/>
  <c r="Q152" i="45"/>
  <c r="L143" i="44"/>
  <c r="L145" i="44" s="1"/>
  <c r="M108" i="45"/>
  <c r="Q88" i="45"/>
  <c r="Q57" i="45"/>
  <c r="Q59" i="45" s="1"/>
  <c r="O93" i="45"/>
  <c r="M41" i="45"/>
  <c r="G25" i="41"/>
  <c r="H25" i="41" s="1"/>
  <c r="K25" i="41" s="1"/>
  <c r="H24" i="41"/>
  <c r="K24" i="41" s="1"/>
  <c r="G27" i="44"/>
  <c r="H27" i="44" s="1"/>
  <c r="K27" i="44" s="1"/>
  <c r="H26" i="44"/>
  <c r="K26" i="44" s="1"/>
  <c r="J39" i="44"/>
  <c r="N39" i="44"/>
  <c r="B28" i="44"/>
  <c r="B30" i="44" s="1"/>
  <c r="D28" i="44"/>
  <c r="L47" i="41"/>
  <c r="L96" i="41"/>
  <c r="B26" i="41"/>
  <c r="B28" i="41" s="1"/>
  <c r="N37" i="41"/>
  <c r="D26" i="41"/>
  <c r="J37" i="41"/>
  <c r="G58" i="41"/>
  <c r="H58" i="41" s="1"/>
  <c r="K58" i="41" s="1"/>
  <c r="H57" i="41"/>
  <c r="K57" i="41" s="1"/>
  <c r="G124" i="41"/>
  <c r="H124" i="41" s="1"/>
  <c r="K124" i="41" s="1"/>
  <c r="H123" i="41"/>
  <c r="K123" i="41" s="1"/>
  <c r="H23" i="41"/>
  <c r="K23" i="41" s="1"/>
  <c r="G206" i="44"/>
  <c r="H206" i="44" s="1"/>
  <c r="K206" i="44" s="1"/>
  <c r="H205" i="44"/>
  <c r="K205" i="44" s="1"/>
  <c r="H122" i="41"/>
  <c r="K122" i="41" s="1"/>
  <c r="F121" i="41"/>
  <c r="H25" i="44"/>
  <c r="K25" i="44" s="1"/>
  <c r="F24" i="44"/>
  <c r="H92" i="44"/>
  <c r="K92" i="44" s="1"/>
  <c r="F91" i="44"/>
  <c r="L129" i="44"/>
  <c r="L130" i="44" s="1"/>
  <c r="L131" i="44" s="1"/>
  <c r="L132" i="44" s="1"/>
  <c r="L133" i="44" s="1"/>
  <c r="H139" i="44"/>
  <c r="K139" i="44" s="1"/>
  <c r="H172" i="44"/>
  <c r="K172" i="44" s="1"/>
  <c r="F171" i="44"/>
  <c r="L199" i="44"/>
  <c r="Q364" i="45"/>
  <c r="M389" i="45"/>
  <c r="Q377" i="45"/>
  <c r="L14" i="41"/>
  <c r="L15" i="41" s="1"/>
  <c r="L16" i="41" s="1"/>
  <c r="L17" i="41" s="1"/>
  <c r="L18" i="41" s="1"/>
  <c r="R14" i="41"/>
  <c r="R15" i="41" s="1"/>
  <c r="R16" i="41" s="1"/>
  <c r="R17" i="41" s="1"/>
  <c r="R18" i="41" s="1"/>
  <c r="R19" i="41" s="1"/>
  <c r="R20" i="41" s="1"/>
  <c r="R21" i="41" s="1"/>
  <c r="R22" i="41" s="1"/>
  <c r="R23" i="41" s="1"/>
  <c r="R24" i="41" s="1"/>
  <c r="R25" i="41" s="1"/>
  <c r="R37" i="41" s="1"/>
  <c r="F22" i="41"/>
  <c r="H90" i="41"/>
  <c r="F89" i="41"/>
  <c r="L117" i="41"/>
  <c r="P125" i="41"/>
  <c r="L146" i="41"/>
  <c r="L147" i="41" s="1"/>
  <c r="L148" i="41" s="1"/>
  <c r="L149" i="41" s="1"/>
  <c r="L150" i="41" s="1"/>
  <c r="R146" i="41"/>
  <c r="R147" i="41" s="1"/>
  <c r="R148" i="41" s="1"/>
  <c r="R149" i="41" s="1"/>
  <c r="R150" i="41" s="1"/>
  <c r="R151" i="41" s="1"/>
  <c r="R152" i="41" s="1"/>
  <c r="R153" i="41" s="1"/>
  <c r="R154" i="41" s="1"/>
  <c r="R155" i="41" s="1"/>
  <c r="R156" i="41" s="1"/>
  <c r="R157" i="41" s="1"/>
  <c r="R169" i="41" s="1"/>
  <c r="G119" i="42"/>
  <c r="H189" i="42"/>
  <c r="F15" i="42"/>
  <c r="L17" i="44"/>
  <c r="L18" i="44" s="1"/>
  <c r="L19" i="44" s="1"/>
  <c r="L20" i="44" s="1"/>
  <c r="Q28" i="44"/>
  <c r="Q207" i="44"/>
  <c r="L197" i="44"/>
  <c r="O389" i="45"/>
  <c r="Q355" i="45"/>
  <c r="H56" i="41"/>
  <c r="K56" i="41" s="1"/>
  <c r="F55" i="41"/>
  <c r="H156" i="41"/>
  <c r="K156" i="41" s="1"/>
  <c r="F155" i="41"/>
  <c r="F117" i="42"/>
  <c r="F77" i="42"/>
  <c r="F83" i="42" s="1"/>
  <c r="I77" i="42"/>
  <c r="H119" i="42"/>
  <c r="H148" i="42"/>
  <c r="F188" i="42"/>
  <c r="H248" i="42"/>
  <c r="P28" i="44"/>
  <c r="O28" i="44"/>
  <c r="H59" i="44"/>
  <c r="K59" i="44" s="1"/>
  <c r="P59" i="44" s="1"/>
  <c r="F58" i="44"/>
  <c r="P94" i="44"/>
  <c r="L98" i="44"/>
  <c r="P141" i="44"/>
  <c r="F138" i="44"/>
  <c r="Q90" i="45"/>
  <c r="Q39" i="45"/>
  <c r="O260" i="45"/>
  <c r="Q260" i="45"/>
  <c r="M92" i="46"/>
  <c r="P76" i="46"/>
  <c r="P92" i="46" s="1"/>
  <c r="L116" i="41"/>
  <c r="I118" i="42"/>
  <c r="I119" i="42" s="1"/>
  <c r="I104" i="42"/>
  <c r="K82" i="45"/>
  <c r="O125" i="41"/>
  <c r="P158" i="41"/>
  <c r="R168" i="41"/>
  <c r="G77" i="42"/>
  <c r="G83" i="42" s="1"/>
  <c r="G11" i="42" s="1"/>
  <c r="E73" i="42"/>
  <c r="E74" i="42"/>
  <c r="H104" i="42"/>
  <c r="G175" i="42"/>
  <c r="G181" i="42" s="1"/>
  <c r="F262" i="42"/>
  <c r="F221" i="42"/>
  <c r="F227" i="42" s="1"/>
  <c r="I263" i="42"/>
  <c r="I264" i="42" s="1"/>
  <c r="I248" i="42"/>
  <c r="L84" i="44"/>
  <c r="L85" i="44" s="1"/>
  <c r="L86" i="44" s="1"/>
  <c r="Q141" i="44"/>
  <c r="R129" i="44"/>
  <c r="R130" i="44" s="1"/>
  <c r="L198" i="44"/>
  <c r="O251" i="45"/>
  <c r="O271" i="45" s="1"/>
  <c r="Q251" i="45"/>
  <c r="R35" i="46"/>
  <c r="X35" i="46" s="1"/>
  <c r="AF35" i="46" s="1"/>
  <c r="E141" i="42"/>
  <c r="K71" i="45"/>
  <c r="K104" i="45" s="1"/>
  <c r="O79" i="45"/>
  <c r="M75" i="45"/>
  <c r="Q80" i="45"/>
  <c r="Q363" i="45"/>
  <c r="M388" i="45"/>
  <c r="M368" i="45"/>
  <c r="Q374" i="45"/>
  <c r="R20" i="46"/>
  <c r="X20" i="46" s="1"/>
  <c r="AF20" i="46" s="1"/>
  <c r="Q94" i="44"/>
  <c r="L162" i="44"/>
  <c r="L163" i="44" s="1"/>
  <c r="L164" i="44" s="1"/>
  <c r="L165" i="44" s="1"/>
  <c r="L166" i="44" s="1"/>
  <c r="H204" i="44"/>
  <c r="K204" i="44" s="1"/>
  <c r="F203" i="44"/>
  <c r="O80" i="45"/>
  <c r="O357" i="45"/>
  <c r="O391" i="45" s="1"/>
  <c r="O215" i="45"/>
  <c r="O235" i="45" s="1"/>
  <c r="Q210" i="45"/>
  <c r="Q215" i="45" s="1"/>
  <c r="Q235" i="45" s="1"/>
  <c r="K251" i="45"/>
  <c r="K271" i="45" s="1"/>
  <c r="K296" i="45"/>
  <c r="K307" i="45" s="1"/>
  <c r="M390" i="45"/>
  <c r="Q356" i="45"/>
  <c r="P22" i="46"/>
  <c r="Q91" i="45"/>
  <c r="Q79" i="45"/>
  <c r="M84" i="45"/>
  <c r="M93" i="45"/>
  <c r="O143" i="45"/>
  <c r="K188" i="45"/>
  <c r="K199" i="45" s="1"/>
  <c r="M235" i="45"/>
  <c r="M307" i="45"/>
  <c r="R13" i="46"/>
  <c r="X13" i="46" s="1"/>
  <c r="AF13" i="46" s="1"/>
  <c r="R16" i="46"/>
  <c r="X16" i="46" s="1"/>
  <c r="AF16" i="46" s="1"/>
  <c r="R17" i="46"/>
  <c r="X17" i="46" s="1"/>
  <c r="AF17" i="46" s="1"/>
  <c r="R78" i="46"/>
  <c r="X78" i="46" s="1"/>
  <c r="AF78" i="46" s="1"/>
  <c r="K72" i="45"/>
  <c r="O365" i="45"/>
  <c r="O390" i="45" s="1"/>
  <c r="O152" i="45"/>
  <c r="Q161" i="45"/>
  <c r="Q332" i="45"/>
  <c r="Q343" i="45" s="1"/>
  <c r="M391" i="45"/>
  <c r="K365" i="45"/>
  <c r="K390" i="45" s="1"/>
  <c r="K393" i="45" s="1"/>
  <c r="M377" i="45"/>
  <c r="M72" i="46"/>
  <c r="P12" i="46"/>
  <c r="R14" i="46"/>
  <c r="X14" i="46" s="1"/>
  <c r="AF14" i="46" s="1"/>
  <c r="J18" i="46"/>
  <c r="R18" i="46" s="1"/>
  <c r="X18" i="46" s="1"/>
  <c r="AF18" i="46" s="1"/>
  <c r="R27" i="46"/>
  <c r="X27" i="46" s="1"/>
  <c r="AF27" i="46" s="1"/>
  <c r="R43" i="46"/>
  <c r="X43" i="46" s="1"/>
  <c r="AF43" i="46" s="1"/>
  <c r="R47" i="46"/>
  <c r="X47" i="46" s="1"/>
  <c r="AF47" i="46" s="1"/>
  <c r="R48" i="46"/>
  <c r="X48" i="46" s="1"/>
  <c r="AF48" i="46" s="1"/>
  <c r="R49" i="46"/>
  <c r="X49" i="46" s="1"/>
  <c r="AF49" i="46" s="1"/>
  <c r="I72" i="46"/>
  <c r="P19" i="46"/>
  <c r="R19" i="46" s="1"/>
  <c r="X19" i="46" s="1"/>
  <c r="AF19" i="46" s="1"/>
  <c r="R22" i="46"/>
  <c r="X22" i="46" s="1"/>
  <c r="AF22" i="46" s="1"/>
  <c r="J25" i="46"/>
  <c r="R25" i="46" s="1"/>
  <c r="X25" i="46" s="1"/>
  <c r="AF25" i="46" s="1"/>
  <c r="P26" i="46"/>
  <c r="R26" i="46" s="1"/>
  <c r="X26" i="46" s="1"/>
  <c r="AF26" i="46" s="1"/>
  <c r="R30" i="46"/>
  <c r="X30" i="46" s="1"/>
  <c r="AF30" i="46" s="1"/>
  <c r="J33" i="46"/>
  <c r="R33" i="46" s="1"/>
  <c r="X33" i="46" s="1"/>
  <c r="AF33" i="46" s="1"/>
  <c r="P34" i="46"/>
  <c r="R34" i="46" s="1"/>
  <c r="X34" i="46" s="1"/>
  <c r="AF34" i="46" s="1"/>
  <c r="R36" i="46"/>
  <c r="X36" i="46" s="1"/>
  <c r="AF36" i="46" s="1"/>
  <c r="R37" i="46"/>
  <c r="X37" i="46" s="1"/>
  <c r="AF37" i="46" s="1"/>
  <c r="R50" i="46"/>
  <c r="X50" i="46" s="1"/>
  <c r="AF50" i="46" s="1"/>
  <c r="R57" i="46"/>
  <c r="X57" i="46" s="1"/>
  <c r="AF57" i="46" s="1"/>
  <c r="R65" i="46"/>
  <c r="X65" i="46" s="1"/>
  <c r="AF65" i="46" s="1"/>
  <c r="Q143" i="45"/>
  <c r="Q163" i="45" s="1"/>
  <c r="R12" i="46"/>
  <c r="P15" i="46"/>
  <c r="R15" i="46" s="1"/>
  <c r="X15" i="46" s="1"/>
  <c r="AF15" i="46" s="1"/>
  <c r="R38" i="46"/>
  <c r="X38" i="46" s="1"/>
  <c r="AF38" i="46" s="1"/>
  <c r="I116" i="46"/>
  <c r="R97" i="46"/>
  <c r="X97" i="46" s="1"/>
  <c r="AF97" i="46" s="1"/>
  <c r="R100" i="46"/>
  <c r="X100" i="46" s="1"/>
  <c r="AF100" i="46" s="1"/>
  <c r="R108" i="46"/>
  <c r="X108" i="46" s="1"/>
  <c r="AF108" i="46" s="1"/>
  <c r="R51" i="46"/>
  <c r="X51" i="46" s="1"/>
  <c r="AF51" i="46" s="1"/>
  <c r="R55" i="46"/>
  <c r="X55" i="46" s="1"/>
  <c r="AF55" i="46" s="1"/>
  <c r="R58" i="46"/>
  <c r="X58" i="46" s="1"/>
  <c r="AF58" i="46" s="1"/>
  <c r="R63" i="46"/>
  <c r="X63" i="46" s="1"/>
  <c r="AF63" i="46" s="1"/>
  <c r="R66" i="46"/>
  <c r="X66" i="46" s="1"/>
  <c r="R71" i="46"/>
  <c r="X71" i="46" s="1"/>
  <c r="AF71" i="46" s="1"/>
  <c r="R79" i="46"/>
  <c r="R86" i="46"/>
  <c r="X86" i="46" s="1"/>
  <c r="AF86" i="46" s="1"/>
  <c r="V87" i="46"/>
  <c r="X87" i="46" s="1"/>
  <c r="AF87" i="46" s="1"/>
  <c r="G92" i="46"/>
  <c r="J95" i="46"/>
  <c r="G72" i="46"/>
  <c r="O72" i="46"/>
  <c r="O118" i="46" s="1"/>
  <c r="I92" i="46"/>
  <c r="J82" i="46"/>
  <c r="R82" i="46" s="1"/>
  <c r="J88" i="46"/>
  <c r="R88" i="46" s="1"/>
  <c r="X88" i="46" s="1"/>
  <c r="AF88" i="46" s="1"/>
  <c r="P89" i="46"/>
  <c r="R89" i="46" s="1"/>
  <c r="X89" i="46" s="1"/>
  <c r="AF89" i="46" s="1"/>
  <c r="M116" i="46"/>
  <c r="J96" i="46"/>
  <c r="R96" i="46" s="1"/>
  <c r="X96" i="46" s="1"/>
  <c r="AF96" i="46" s="1"/>
  <c r="P96" i="46"/>
  <c r="P97" i="46"/>
  <c r="R101" i="46"/>
  <c r="X101" i="46" s="1"/>
  <c r="AF101" i="46" s="1"/>
  <c r="J104" i="46"/>
  <c r="R104" i="46" s="1"/>
  <c r="X104" i="46" s="1"/>
  <c r="AF104" i="46" s="1"/>
  <c r="P105" i="46"/>
  <c r="R105" i="46" s="1"/>
  <c r="X105" i="46" s="1"/>
  <c r="AF105" i="46" s="1"/>
  <c r="R109" i="46"/>
  <c r="X109" i="46" s="1"/>
  <c r="AF109" i="46" s="1"/>
  <c r="J112" i="46"/>
  <c r="R112" i="46" s="1"/>
  <c r="X112" i="46" s="1"/>
  <c r="AF112" i="46" s="1"/>
  <c r="P113" i="46"/>
  <c r="R113" i="46" s="1"/>
  <c r="X113" i="46" s="1"/>
  <c r="AF113" i="46" s="1"/>
  <c r="M379" i="45" l="1"/>
  <c r="P207" i="44"/>
  <c r="P174" i="44"/>
  <c r="O207" i="44"/>
  <c r="R131" i="44"/>
  <c r="R132" i="44" s="1"/>
  <c r="R133" i="44" s="1"/>
  <c r="R134" i="44" s="1"/>
  <c r="R135" i="44" s="1"/>
  <c r="R136" i="44" s="1"/>
  <c r="R137" i="44" s="1"/>
  <c r="R138" i="44" s="1"/>
  <c r="R139" i="44" s="1"/>
  <c r="R140" i="44" s="1"/>
  <c r="R152" i="44" s="1"/>
  <c r="Q390" i="45"/>
  <c r="R196" i="44"/>
  <c r="R197" i="44" s="1"/>
  <c r="R198" i="44" s="1"/>
  <c r="R199" i="44" s="1"/>
  <c r="R200" i="44" s="1"/>
  <c r="R201" i="44" s="1"/>
  <c r="R202" i="44" s="1"/>
  <c r="R203" i="44" s="1"/>
  <c r="R204" i="44" s="1"/>
  <c r="R205" i="44" s="1"/>
  <c r="R206" i="44" s="1"/>
  <c r="R218" i="44" s="1"/>
  <c r="R219" i="44" s="1"/>
  <c r="N228" i="44" s="1"/>
  <c r="R170" i="41"/>
  <c r="H98" i="1" s="1"/>
  <c r="O174" i="44"/>
  <c r="E118" i="42"/>
  <c r="Q53" i="44"/>
  <c r="K53" i="44"/>
  <c r="P53" i="44" s="1"/>
  <c r="J61" i="44"/>
  <c r="K49" i="44"/>
  <c r="Q49" i="44"/>
  <c r="K60" i="44"/>
  <c r="P60" i="44" s="1"/>
  <c r="K50" i="44"/>
  <c r="P50" i="44" s="1"/>
  <c r="K51" i="44"/>
  <c r="P51" i="44" s="1"/>
  <c r="G17" i="42"/>
  <c r="E148" i="42"/>
  <c r="E77" i="42"/>
  <c r="Q93" i="45"/>
  <c r="V82" i="46"/>
  <c r="X82" i="46"/>
  <c r="AF82" i="46" s="1"/>
  <c r="R95" i="46"/>
  <c r="J116" i="46"/>
  <c r="V79" i="46"/>
  <c r="V92" i="46" s="1"/>
  <c r="V118" i="46" s="1"/>
  <c r="X79" i="46"/>
  <c r="R72" i="46"/>
  <c r="X12" i="46"/>
  <c r="M393" i="45"/>
  <c r="H24" i="44"/>
  <c r="K24" i="44" s="1"/>
  <c r="F23" i="44"/>
  <c r="J72" i="46"/>
  <c r="I118" i="46"/>
  <c r="O368" i="45"/>
  <c r="Q365" i="45"/>
  <c r="R182" i="44" s="1"/>
  <c r="R184" i="44" s="1"/>
  <c r="R186" i="44" s="1"/>
  <c r="N227" i="44" s="1"/>
  <c r="O72" i="45"/>
  <c r="Q72" i="45" s="1"/>
  <c r="Q18" i="45"/>
  <c r="R67" i="44" s="1"/>
  <c r="R69" i="44" s="1"/>
  <c r="R71" i="44" s="1"/>
  <c r="Q188" i="45"/>
  <c r="O188" i="45"/>
  <c r="Q296" i="45"/>
  <c r="O296" i="45"/>
  <c r="M95" i="45"/>
  <c r="O82" i="45"/>
  <c r="Q82" i="45" s="1"/>
  <c r="F11" i="42"/>
  <c r="H89" i="41"/>
  <c r="F88" i="41"/>
  <c r="H22" i="41"/>
  <c r="K22" i="41" s="1"/>
  <c r="F21" i="41"/>
  <c r="Q389" i="45"/>
  <c r="H91" i="44"/>
  <c r="K91" i="44" s="1"/>
  <c r="F90" i="44"/>
  <c r="L129" i="41"/>
  <c r="L48" i="41"/>
  <c r="L49" i="41" s="1"/>
  <c r="L50" i="41" s="1"/>
  <c r="L51" i="41" s="1"/>
  <c r="O287" i="45"/>
  <c r="Q287" i="45"/>
  <c r="P72" i="46"/>
  <c r="P118" i="46" s="1"/>
  <c r="Q357" i="45"/>
  <c r="O104" i="45"/>
  <c r="Q104" i="45" s="1"/>
  <c r="Q17" i="45"/>
  <c r="O71" i="45"/>
  <c r="Q71" i="45" s="1"/>
  <c r="F14" i="42"/>
  <c r="E263" i="42"/>
  <c r="E117" i="42"/>
  <c r="E119" i="42" s="1"/>
  <c r="F119" i="42"/>
  <c r="H190" i="42"/>
  <c r="E189" i="42"/>
  <c r="N30" i="41"/>
  <c r="B29" i="41"/>
  <c r="B30" i="41" s="1"/>
  <c r="J30" i="41"/>
  <c r="N32" i="44"/>
  <c r="B31" i="44"/>
  <c r="B32" i="44" s="1"/>
  <c r="J32" i="44"/>
  <c r="H138" i="44"/>
  <c r="K138" i="44" s="1"/>
  <c r="F137" i="44"/>
  <c r="H58" i="44"/>
  <c r="K58" i="44" s="1"/>
  <c r="P58" i="44" s="1"/>
  <c r="F57" i="44"/>
  <c r="F190" i="42"/>
  <c r="E188" i="42"/>
  <c r="R76" i="46"/>
  <c r="P116" i="46"/>
  <c r="G118" i="46"/>
  <c r="AF66" i="46"/>
  <c r="Q179" i="45"/>
  <c r="O179" i="45"/>
  <c r="M118" i="46"/>
  <c r="Q391" i="45"/>
  <c r="J92" i="46"/>
  <c r="O163" i="45"/>
  <c r="F202" i="44"/>
  <c r="H203" i="44"/>
  <c r="K203" i="44" s="1"/>
  <c r="Q271" i="45"/>
  <c r="E262" i="42"/>
  <c r="F264" i="42"/>
  <c r="H155" i="41"/>
  <c r="K155" i="41" s="1"/>
  <c r="F154" i="41"/>
  <c r="F54" i="41"/>
  <c r="H55" i="41"/>
  <c r="K55" i="41" s="1"/>
  <c r="K368" i="45"/>
  <c r="K379" i="45" s="1"/>
  <c r="H171" i="44"/>
  <c r="K171" i="44" s="1"/>
  <c r="F170" i="44"/>
  <c r="H121" i="41"/>
  <c r="K121" i="41" s="1"/>
  <c r="F120" i="41"/>
  <c r="Q199" i="45" l="1"/>
  <c r="L182" i="44"/>
  <c r="L184" i="44" s="1"/>
  <c r="E264" i="42"/>
  <c r="O307" i="45"/>
  <c r="Q368" i="45"/>
  <c r="O199" i="45"/>
  <c r="L49" i="44"/>
  <c r="L50" i="44" s="1"/>
  <c r="L51" i="44" s="1"/>
  <c r="L52" i="44" s="1"/>
  <c r="L53" i="44" s="1"/>
  <c r="P49" i="44"/>
  <c r="R49" i="44" s="1"/>
  <c r="R50" i="44" s="1"/>
  <c r="R51" i="44" s="1"/>
  <c r="R52" i="44" s="1"/>
  <c r="R53" i="44" s="1"/>
  <c r="Q61" i="44"/>
  <c r="E190" i="42"/>
  <c r="Q307" i="45"/>
  <c r="H88" i="41"/>
  <c r="F87" i="41"/>
  <c r="H54" i="41"/>
  <c r="K54" i="41" s="1"/>
  <c r="F53" i="41"/>
  <c r="O359" i="45"/>
  <c r="O379" i="45" s="1"/>
  <c r="Q354" i="45"/>
  <c r="R147" i="44" s="1"/>
  <c r="R149" i="44" s="1"/>
  <c r="R151" i="44" s="1"/>
  <c r="R153" i="44" s="1"/>
  <c r="N226" i="44" s="1"/>
  <c r="N230" i="44" s="1"/>
  <c r="H57" i="44"/>
  <c r="K57" i="44" s="1"/>
  <c r="P57" i="44" s="1"/>
  <c r="F56" i="44"/>
  <c r="J118" i="46"/>
  <c r="AF79" i="46"/>
  <c r="X123" i="46"/>
  <c r="H120" i="41"/>
  <c r="K120" i="41" s="1"/>
  <c r="F119" i="41"/>
  <c r="F17" i="42"/>
  <c r="R116" i="46"/>
  <c r="R118" i="46" s="1"/>
  <c r="X95" i="46"/>
  <c r="H154" i="41"/>
  <c r="K154" i="41" s="1"/>
  <c r="F153" i="41"/>
  <c r="B34" i="44"/>
  <c r="B32" i="41"/>
  <c r="L215" i="44"/>
  <c r="L211" i="44"/>
  <c r="H21" i="41"/>
  <c r="K21" i="41" s="1"/>
  <c r="F20" i="41"/>
  <c r="H23" i="44"/>
  <c r="K23" i="44" s="1"/>
  <c r="F22" i="44"/>
  <c r="H170" i="44"/>
  <c r="K170" i="44" s="1"/>
  <c r="F169" i="44"/>
  <c r="H202" i="44"/>
  <c r="K202" i="44" s="1"/>
  <c r="F201" i="44"/>
  <c r="K34" i="45"/>
  <c r="R92" i="46"/>
  <c r="X76" i="46"/>
  <c r="F136" i="44"/>
  <c r="H137" i="44"/>
  <c r="K137" i="44" s="1"/>
  <c r="H90" i="44"/>
  <c r="K90" i="44" s="1"/>
  <c r="F89" i="44"/>
  <c r="X72" i="46"/>
  <c r="X124" i="46"/>
  <c r="AF12" i="46"/>
  <c r="L217" i="44" l="1"/>
  <c r="K88" i="45"/>
  <c r="H22" i="44"/>
  <c r="K22" i="44" s="1"/>
  <c r="F21" i="44"/>
  <c r="H21" i="44" s="1"/>
  <c r="K21" i="44" s="1"/>
  <c r="B33" i="41"/>
  <c r="B34" i="41" s="1"/>
  <c r="H119" i="41"/>
  <c r="K119" i="41" s="1"/>
  <c r="F118" i="41"/>
  <c r="H118" i="41" s="1"/>
  <c r="K118" i="41" s="1"/>
  <c r="H169" i="44"/>
  <c r="K169" i="44" s="1"/>
  <c r="F168" i="44"/>
  <c r="H153" i="41"/>
  <c r="K153" i="41" s="1"/>
  <c r="F152" i="41"/>
  <c r="H87" i="41"/>
  <c r="F86" i="41"/>
  <c r="X92" i="46"/>
  <c r="X118" i="46" s="1"/>
  <c r="AF76" i="46"/>
  <c r="X121" i="46"/>
  <c r="X128" i="46" s="1"/>
  <c r="H201" i="44"/>
  <c r="K201" i="44" s="1"/>
  <c r="F200" i="44"/>
  <c r="H200" i="44" s="1"/>
  <c r="K200" i="44" s="1"/>
  <c r="H20" i="41"/>
  <c r="K20" i="41" s="1"/>
  <c r="F19" i="41"/>
  <c r="H19" i="41" s="1"/>
  <c r="K19" i="41" s="1"/>
  <c r="X126" i="46"/>
  <c r="Q359" i="45"/>
  <c r="Q379" i="45" s="1"/>
  <c r="L147" i="44"/>
  <c r="L149" i="44" s="1"/>
  <c r="L151" i="44" s="1"/>
  <c r="N36" i="44"/>
  <c r="B35" i="44"/>
  <c r="B36" i="44" s="1"/>
  <c r="J36" i="44"/>
  <c r="H56" i="44"/>
  <c r="K56" i="44" s="1"/>
  <c r="P56" i="44" s="1"/>
  <c r="F55" i="44"/>
  <c r="H89" i="44"/>
  <c r="K89" i="44" s="1"/>
  <c r="F88" i="44"/>
  <c r="F135" i="44"/>
  <c r="H136" i="44"/>
  <c r="K136" i="44" s="1"/>
  <c r="H53" i="41"/>
  <c r="K53" i="41" s="1"/>
  <c r="F52" i="41"/>
  <c r="H52" i="41" s="1"/>
  <c r="K52" i="41" s="1"/>
  <c r="AF124" i="46"/>
  <c r="AF72" i="46"/>
  <c r="K16" i="45"/>
  <c r="L30" i="41"/>
  <c r="AF95" i="46"/>
  <c r="X116" i="46"/>
  <c r="AF123" i="46"/>
  <c r="AF126" i="46" s="1"/>
  <c r="K27" i="45"/>
  <c r="O393" i="45"/>
  <c r="L308" i="9" s="1"/>
  <c r="Q388" i="45"/>
  <c r="Q393" i="45" s="1"/>
  <c r="B36" i="41" l="1"/>
  <c r="N36" i="41"/>
  <c r="J36" i="41"/>
  <c r="K81" i="45"/>
  <c r="K30" i="45"/>
  <c r="L52" i="41"/>
  <c r="K59" i="41"/>
  <c r="F134" i="44"/>
  <c r="H134" i="44" s="1"/>
  <c r="K134" i="44" s="1"/>
  <c r="H135" i="44"/>
  <c r="K135" i="44" s="1"/>
  <c r="H55" i="44"/>
  <c r="K55" i="44" s="1"/>
  <c r="P55" i="44" s="1"/>
  <c r="F54" i="44"/>
  <c r="H54" i="44" s="1"/>
  <c r="K54" i="44" s="1"/>
  <c r="P54" i="44" s="1"/>
  <c r="L19" i="41"/>
  <c r="L20" i="41" s="1"/>
  <c r="L21" i="41" s="1"/>
  <c r="L22" i="41" s="1"/>
  <c r="L23" i="41" s="1"/>
  <c r="L24" i="41" s="1"/>
  <c r="L25" i="41" s="1"/>
  <c r="L37" i="41" s="1"/>
  <c r="K26" i="41"/>
  <c r="H88" i="44"/>
  <c r="K88" i="44" s="1"/>
  <c r="F87" i="44"/>
  <c r="H87" i="44" s="1"/>
  <c r="K87" i="44" s="1"/>
  <c r="AF92" i="46"/>
  <c r="AF118" i="46" s="1"/>
  <c r="K36" i="45"/>
  <c r="AF121" i="46"/>
  <c r="AF128" i="46" s="1"/>
  <c r="H168" i="44"/>
  <c r="K168" i="44" s="1"/>
  <c r="F167" i="44"/>
  <c r="H167" i="44" s="1"/>
  <c r="K167" i="44" s="1"/>
  <c r="K70" i="45"/>
  <c r="L21" i="44"/>
  <c r="L22" i="44" s="1"/>
  <c r="L23" i="44" s="1"/>
  <c r="L24" i="44" s="1"/>
  <c r="L25" i="44" s="1"/>
  <c r="L26" i="44" s="1"/>
  <c r="L27" i="44" s="1"/>
  <c r="L39" i="44" s="1"/>
  <c r="K28" i="44"/>
  <c r="L200" i="44"/>
  <c r="K207" i="44"/>
  <c r="N34" i="41"/>
  <c r="AF116" i="46"/>
  <c r="K19" i="45"/>
  <c r="B38" i="44"/>
  <c r="N38" i="44"/>
  <c r="J38" i="44"/>
  <c r="L201" i="44"/>
  <c r="L202" i="44" s="1"/>
  <c r="L203" i="44" s="1"/>
  <c r="L204" i="44" s="1"/>
  <c r="L205" i="44" s="1"/>
  <c r="L206" i="44" s="1"/>
  <c r="L218" i="44" s="1"/>
  <c r="L219" i="44" s="1"/>
  <c r="H228" i="44" s="1"/>
  <c r="H86" i="41"/>
  <c r="F85" i="41"/>
  <c r="H85" i="41" s="1"/>
  <c r="H152" i="41"/>
  <c r="K152" i="41" s="1"/>
  <c r="F151" i="41"/>
  <c r="H151" i="41" s="1"/>
  <c r="K151" i="41" s="1"/>
  <c r="L118" i="41"/>
  <c r="L119" i="41" s="1"/>
  <c r="L120" i="41" s="1"/>
  <c r="L121" i="41" s="1"/>
  <c r="L122" i="41" s="1"/>
  <c r="L123" i="41" s="1"/>
  <c r="L124" i="41" s="1"/>
  <c r="L136" i="41" s="1"/>
  <c r="K125" i="41"/>
  <c r="J34" i="41"/>
  <c r="R54" i="44" l="1"/>
  <c r="R55" i="44" s="1"/>
  <c r="R56" i="44" s="1"/>
  <c r="R57" i="44" s="1"/>
  <c r="R58" i="44" s="1"/>
  <c r="R59" i="44" s="1"/>
  <c r="R60" i="44" s="1"/>
  <c r="R72" i="44" s="1"/>
  <c r="R73" i="44" s="1"/>
  <c r="N114" i="44" s="1"/>
  <c r="N117" i="44" s="1"/>
  <c r="P61" i="44"/>
  <c r="K73" i="45"/>
  <c r="K106" i="45" s="1"/>
  <c r="L167" i="44"/>
  <c r="L168" i="44" s="1"/>
  <c r="L169" i="44" s="1"/>
  <c r="L170" i="44" s="1"/>
  <c r="L171" i="44" s="1"/>
  <c r="L172" i="44" s="1"/>
  <c r="L173" i="44" s="1"/>
  <c r="L185" i="44" s="1"/>
  <c r="L186" i="44" s="1"/>
  <c r="H227" i="44" s="1"/>
  <c r="K174" i="44"/>
  <c r="L134" i="44"/>
  <c r="K141" i="44"/>
  <c r="K21" i="45"/>
  <c r="L54" i="44"/>
  <c r="L55" i="44" s="1"/>
  <c r="L56" i="44" s="1"/>
  <c r="L57" i="44" s="1"/>
  <c r="L58" i="44" s="1"/>
  <c r="L59" i="44" s="1"/>
  <c r="L60" i="44" s="1"/>
  <c r="L72" i="44" s="1"/>
  <c r="K61" i="44"/>
  <c r="O81" i="45"/>
  <c r="O30" i="45"/>
  <c r="O105" i="45"/>
  <c r="Q105" i="45" s="1"/>
  <c r="B37" i="41"/>
  <c r="B38" i="41" s="1"/>
  <c r="B45" i="41" s="1"/>
  <c r="B47" i="41" s="1"/>
  <c r="L152" i="41"/>
  <c r="L153" i="41" s="1"/>
  <c r="L154" i="41" s="1"/>
  <c r="L155" i="41" s="1"/>
  <c r="L156" i="41" s="1"/>
  <c r="L157" i="41" s="1"/>
  <c r="L169" i="41" s="1"/>
  <c r="L170" i="41" s="1"/>
  <c r="K103" i="45"/>
  <c r="K75" i="45"/>
  <c r="N40" i="44"/>
  <c r="B39" i="44"/>
  <c r="B40" i="44" s="1"/>
  <c r="O70" i="45"/>
  <c r="Q16" i="45"/>
  <c r="O21" i="45"/>
  <c r="O103" i="45"/>
  <c r="L87" i="44"/>
  <c r="L88" i="44" s="1"/>
  <c r="L89" i="44" s="1"/>
  <c r="L90" i="44" s="1"/>
  <c r="L91" i="44" s="1"/>
  <c r="L92" i="44" s="1"/>
  <c r="L93" i="44" s="1"/>
  <c r="L105" i="44" s="1"/>
  <c r="K94" i="44"/>
  <c r="K84" i="45"/>
  <c r="L151" i="41"/>
  <c r="K158" i="41"/>
  <c r="K90" i="45"/>
  <c r="K93" i="45" s="1"/>
  <c r="K39" i="45"/>
  <c r="L135" i="44"/>
  <c r="L136" i="44" s="1"/>
  <c r="L137" i="44" s="1"/>
  <c r="L138" i="44" s="1"/>
  <c r="L139" i="44" s="1"/>
  <c r="L140" i="44" s="1"/>
  <c r="L152" i="44" s="1"/>
  <c r="L153" i="44" s="1"/>
  <c r="H226" i="44" s="1"/>
  <c r="L53" i="41"/>
  <c r="L54" i="41" s="1"/>
  <c r="L55" i="41" s="1"/>
  <c r="L56" i="41" s="1"/>
  <c r="L57" i="41" s="1"/>
  <c r="L58" i="41" s="1"/>
  <c r="L70" i="41" s="1"/>
  <c r="L71" i="41" s="1"/>
  <c r="K105" i="45" l="1"/>
  <c r="B48" i="41"/>
  <c r="B49" i="41" s="1"/>
  <c r="B50" i="41" s="1"/>
  <c r="B51" i="41" s="1"/>
  <c r="B52" i="41" s="1"/>
  <c r="B53" i="41" s="1"/>
  <c r="B54" i="41" s="1"/>
  <c r="B55" i="41" s="1"/>
  <c r="B56" i="41" s="1"/>
  <c r="B57" i="41" s="1"/>
  <c r="B58" i="41" s="1"/>
  <c r="H230" i="44"/>
  <c r="H103" i="1" s="1"/>
  <c r="L59" i="41"/>
  <c r="Q103" i="45"/>
  <c r="J40" i="44"/>
  <c r="K95" i="45"/>
  <c r="N38" i="41"/>
  <c r="Q30" i="45"/>
  <c r="L69" i="44"/>
  <c r="L71" i="44" s="1"/>
  <c r="L73" i="44" s="1"/>
  <c r="H114" i="44" s="1"/>
  <c r="Q70" i="45"/>
  <c r="O41" i="45"/>
  <c r="L113" i="44"/>
  <c r="F113" i="44"/>
  <c r="B47" i="44"/>
  <c r="B49" i="44" s="1"/>
  <c r="K108" i="45"/>
  <c r="J38" i="41"/>
  <c r="Q81" i="45"/>
  <c r="Q84" i="45" s="1"/>
  <c r="O84" i="45"/>
  <c r="K41" i="45"/>
  <c r="O73" i="45"/>
  <c r="Q73" i="45" s="1"/>
  <c r="L100" i="44" s="1"/>
  <c r="L102" i="44" s="1"/>
  <c r="L104" i="44" s="1"/>
  <c r="L106" i="44" s="1"/>
  <c r="H115" i="44" s="1"/>
  <c r="O106" i="45"/>
  <c r="Q106" i="45" s="1"/>
  <c r="Q19" i="45"/>
  <c r="Q21" i="45" s="1"/>
  <c r="Q41" i="45" s="1"/>
  <c r="Q108" i="45" l="1"/>
  <c r="B50" i="44"/>
  <c r="B51" i="44" s="1"/>
  <c r="B52" i="44" s="1"/>
  <c r="B53" i="44" s="1"/>
  <c r="B54" i="44" s="1"/>
  <c r="B55" i="44" s="1"/>
  <c r="B56" i="44" s="1"/>
  <c r="B57" i="44" s="1"/>
  <c r="B58" i="44" s="1"/>
  <c r="B59" i="44" s="1"/>
  <c r="B60" i="44" s="1"/>
  <c r="D61" i="44"/>
  <c r="Q75" i="45"/>
  <c r="Q95" i="45" s="1"/>
  <c r="L36" i="44"/>
  <c r="L38" i="44" s="1"/>
  <c r="L40" i="44" s="1"/>
  <c r="H113" i="44" s="1"/>
  <c r="H117" i="44" s="1"/>
  <c r="H102" i="1" s="1"/>
  <c r="O108" i="45"/>
  <c r="L307" i="9" s="1"/>
  <c r="O75" i="45"/>
  <c r="O95" i="45" s="1"/>
  <c r="J70" i="41"/>
  <c r="N70" i="41"/>
  <c r="B59" i="41"/>
  <c r="B61" i="41" s="1"/>
  <c r="D59" i="41"/>
  <c r="B62" i="41" l="1"/>
  <c r="B63" i="41" s="1"/>
  <c r="J63" i="41"/>
  <c r="B61" i="44"/>
  <c r="B63" i="44" s="1"/>
  <c r="J72" i="44"/>
  <c r="N72" i="44"/>
  <c r="B64" i="44" l="1"/>
  <c r="B65" i="44" s="1"/>
  <c r="J65" i="44"/>
  <c r="B65" i="41"/>
  <c r="N63" i="41"/>
  <c r="B67" i="44" l="1"/>
  <c r="N67" i="41"/>
  <c r="B66" i="41"/>
  <c r="B67" i="41" s="1"/>
  <c r="J67" i="41"/>
  <c r="N65" i="44"/>
  <c r="B68" i="44" l="1"/>
  <c r="B69" i="44" s="1"/>
  <c r="J69" i="44"/>
  <c r="B69" i="41"/>
  <c r="J69" i="41"/>
  <c r="N69" i="41"/>
  <c r="B70" i="41" l="1"/>
  <c r="B71" i="41" s="1"/>
  <c r="B78" i="41" s="1"/>
  <c r="B80" i="41" s="1"/>
  <c r="B71" i="44"/>
  <c r="N71" i="44"/>
  <c r="J71" i="44"/>
  <c r="N69" i="44"/>
  <c r="B81" i="41" l="1"/>
  <c r="B82" i="41" s="1"/>
  <c r="B83" i="41" s="1"/>
  <c r="B84" i="41" s="1"/>
  <c r="B85" i="41" s="1"/>
  <c r="B86" i="41" s="1"/>
  <c r="B87" i="41" s="1"/>
  <c r="B88" i="41" s="1"/>
  <c r="B89" i="41" s="1"/>
  <c r="B90" i="41" s="1"/>
  <c r="B91" i="41" s="1"/>
  <c r="N71" i="41"/>
  <c r="J73" i="44"/>
  <c r="B72" i="44"/>
  <c r="B73" i="44" s="1"/>
  <c r="J71" i="41"/>
  <c r="L114" i="44" l="1"/>
  <c r="B80" i="44"/>
  <c r="B82" i="44" s="1"/>
  <c r="F114" i="44"/>
  <c r="J103" i="41"/>
  <c r="B92" i="41"/>
  <c r="B94" i="41" s="1"/>
  <c r="N103" i="41"/>
  <c r="N73" i="44"/>
  <c r="D92" i="41"/>
  <c r="B83" i="44" l="1"/>
  <c r="B84" i="44" s="1"/>
  <c r="B85" i="44" s="1"/>
  <c r="B86" i="44" s="1"/>
  <c r="B87" i="44" s="1"/>
  <c r="B88" i="44" s="1"/>
  <c r="B89" i="44" s="1"/>
  <c r="B90" i="44" s="1"/>
  <c r="B91" i="44" s="1"/>
  <c r="B92" i="44" s="1"/>
  <c r="B93" i="44" s="1"/>
  <c r="B95" i="41"/>
  <c r="B96" i="41" s="1"/>
  <c r="B98" i="41" l="1"/>
  <c r="B94" i="44"/>
  <c r="B96" i="44" s="1"/>
  <c r="N105" i="44"/>
  <c r="J105" i="44"/>
  <c r="N96" i="41"/>
  <c r="J96" i="41"/>
  <c r="D94" i="44"/>
  <c r="B97" i="44" l="1"/>
  <c r="B98" i="44" s="1"/>
  <c r="N98" i="44"/>
  <c r="N100" i="41"/>
  <c r="B99" i="41"/>
  <c r="B100" i="41" s="1"/>
  <c r="J100" i="41"/>
  <c r="B100" i="44" l="1"/>
  <c r="B102" i="41"/>
  <c r="N102" i="41"/>
  <c r="J102" i="41"/>
  <c r="J98" i="44"/>
  <c r="B101" i="44" l="1"/>
  <c r="B102" i="44" s="1"/>
  <c r="J104" i="41"/>
  <c r="B103" i="41"/>
  <c r="B104" i="41" s="1"/>
  <c r="B111" i="41" s="1"/>
  <c r="B113" i="41" s="1"/>
  <c r="B114" i="41" l="1"/>
  <c r="B115" i="41" s="1"/>
  <c r="B116" i="41" s="1"/>
  <c r="B117" i="41" s="1"/>
  <c r="B118" i="41" s="1"/>
  <c r="B119" i="41" s="1"/>
  <c r="B120" i="41" s="1"/>
  <c r="B121" i="41" s="1"/>
  <c r="B122" i="41" s="1"/>
  <c r="B123" i="41" s="1"/>
  <c r="B124" i="41" s="1"/>
  <c r="J102" i="44"/>
  <c r="B104" i="44"/>
  <c r="N104" i="44"/>
  <c r="J104" i="44"/>
  <c r="N104" i="41"/>
  <c r="N102" i="44"/>
  <c r="B105" i="44" l="1"/>
  <c r="B106" i="44" s="1"/>
  <c r="N136" i="41"/>
  <c r="J136" i="41"/>
  <c r="B125" i="41"/>
  <c r="B127" i="41" s="1"/>
  <c r="D125" i="41"/>
  <c r="B113" i="44" l="1"/>
  <c r="B114" i="44" s="1"/>
  <c r="B115" i="44" s="1"/>
  <c r="B117" i="44" s="1"/>
  <c r="B127" i="44" s="1"/>
  <c r="B129" i="44" s="1"/>
  <c r="L115" i="44"/>
  <c r="F115" i="44"/>
  <c r="J129" i="41"/>
  <c r="B128" i="41"/>
  <c r="B129" i="41" s="1"/>
  <c r="N129" i="41"/>
  <c r="N106" i="44"/>
  <c r="J106" i="44"/>
  <c r="B131" i="41" l="1"/>
  <c r="B130" i="44"/>
  <c r="B131" i="44" s="1"/>
  <c r="B132" i="44" s="1"/>
  <c r="B133" i="44" s="1"/>
  <c r="B134" i="44" s="1"/>
  <c r="B135" i="44" s="1"/>
  <c r="B136" i="44" s="1"/>
  <c r="B137" i="44" s="1"/>
  <c r="B138" i="44" s="1"/>
  <c r="B139" i="44" s="1"/>
  <c r="B140" i="44" s="1"/>
  <c r="J152" i="44" l="1"/>
  <c r="B141" i="44"/>
  <c r="B143" i="44" s="1"/>
  <c r="N152" i="44"/>
  <c r="J133" i="41"/>
  <c r="B132" i="41"/>
  <c r="B133" i="41" s="1"/>
  <c r="N133" i="41"/>
  <c r="D141" i="44"/>
  <c r="B144" i="44" l="1"/>
  <c r="B145" i="44" s="1"/>
  <c r="J145" i="44"/>
  <c r="B135" i="41"/>
  <c r="J135" i="41"/>
  <c r="N135" i="41"/>
  <c r="B136" i="41" l="1"/>
  <c r="B137" i="41" s="1"/>
  <c r="B144" i="41" s="1"/>
  <c r="B146" i="41" s="1"/>
  <c r="J137" i="41"/>
  <c r="B147" i="44"/>
  <c r="N145" i="44"/>
  <c r="B148" i="44" l="1"/>
  <c r="B149" i="44" s="1"/>
  <c r="J149" i="44"/>
  <c r="B147" i="41"/>
  <c r="B148" i="41" s="1"/>
  <c r="B149" i="41" s="1"/>
  <c r="B150" i="41" s="1"/>
  <c r="B151" i="41" s="1"/>
  <c r="B152" i="41" s="1"/>
  <c r="B153" i="41" s="1"/>
  <c r="B154" i="41" s="1"/>
  <c r="B155" i="41" s="1"/>
  <c r="B156" i="41" s="1"/>
  <c r="B157" i="41" s="1"/>
  <c r="N137" i="41"/>
  <c r="B158" i="41" l="1"/>
  <c r="B160" i="41" s="1"/>
  <c r="N169" i="41"/>
  <c r="J169" i="41"/>
  <c r="B151" i="44"/>
  <c r="J151" i="44"/>
  <c r="N151" i="44"/>
  <c r="D158" i="41"/>
  <c r="N149" i="44"/>
  <c r="B152" i="44" l="1"/>
  <c r="B153" i="44" s="1"/>
  <c r="N153" i="44"/>
  <c r="J162" i="41"/>
  <c r="B161" i="41"/>
  <c r="B162" i="41" s="1"/>
  <c r="N162" i="41"/>
  <c r="L226" i="44" l="1"/>
  <c r="F226" i="44"/>
  <c r="B160" i="44"/>
  <c r="B162" i="44" s="1"/>
  <c r="B164" i="41"/>
  <c r="J153" i="44"/>
  <c r="B163" i="44" l="1"/>
  <c r="B164" i="44" s="1"/>
  <c r="B165" i="44" s="1"/>
  <c r="B166" i="44" s="1"/>
  <c r="B167" i="44" s="1"/>
  <c r="B168" i="44" s="1"/>
  <c r="B169" i="44" s="1"/>
  <c r="B170" i="44" s="1"/>
  <c r="B171" i="44" s="1"/>
  <c r="B172" i="44" s="1"/>
  <c r="B173" i="44" s="1"/>
  <c r="D174" i="44" s="1"/>
  <c r="B165" i="41"/>
  <c r="B166" i="41" s="1"/>
  <c r="N166" i="41" l="1"/>
  <c r="J166" i="41"/>
  <c r="B168" i="41"/>
  <c r="N168" i="41"/>
  <c r="J168" i="41"/>
  <c r="B174" i="44"/>
  <c r="B176" i="44" s="1"/>
  <c r="N185" i="44"/>
  <c r="J185" i="44"/>
  <c r="B169" i="41" l="1"/>
  <c r="B170" i="41" s="1"/>
  <c r="J170" i="41"/>
  <c r="N178" i="44"/>
  <c r="B177" i="44"/>
  <c r="B178" i="44" s="1"/>
  <c r="B180" i="44" l="1"/>
  <c r="J178" i="44"/>
  <c r="N170" i="41"/>
  <c r="B181" i="44" l="1"/>
  <c r="B182" i="44" s="1"/>
  <c r="N182" i="44"/>
  <c r="J182" i="44"/>
  <c r="B184" i="44" l="1"/>
  <c r="N184" i="44"/>
  <c r="J184" i="44"/>
  <c r="B185" i="44" l="1"/>
  <c r="B186" i="44" s="1"/>
  <c r="F227" i="44" l="1"/>
  <c r="L227" i="44"/>
  <c r="B193" i="44"/>
  <c r="B195" i="44" s="1"/>
  <c r="N186" i="44"/>
  <c r="J186" i="44"/>
  <c r="B196" i="44" l="1"/>
  <c r="B197" i="44" s="1"/>
  <c r="B198" i="44" s="1"/>
  <c r="B199" i="44" s="1"/>
  <c r="B200" i="44" s="1"/>
  <c r="B201" i="44" s="1"/>
  <c r="B202" i="44" s="1"/>
  <c r="B203" i="44" s="1"/>
  <c r="B204" i="44" s="1"/>
  <c r="B205" i="44" s="1"/>
  <c r="B206" i="44" s="1"/>
  <c r="N218" i="44" l="1"/>
  <c r="J218" i="44"/>
  <c r="B207" i="44"/>
  <c r="B209" i="44" s="1"/>
  <c r="D207" i="44"/>
  <c r="B210" i="44" l="1"/>
  <c r="B211" i="44" s="1"/>
  <c r="N211" i="44"/>
  <c r="J211" i="44"/>
  <c r="B213" i="44" l="1"/>
  <c r="B214" i="44" l="1"/>
  <c r="B215" i="44" s="1"/>
  <c r="N215" i="44"/>
  <c r="B217" i="44" l="1"/>
  <c r="J217" i="44"/>
  <c r="N217" i="44"/>
  <c r="J215" i="44"/>
  <c r="B218" i="44" l="1"/>
  <c r="B219" i="44" s="1"/>
  <c r="J219" i="44"/>
  <c r="L228" i="44" l="1"/>
  <c r="B226" i="44"/>
  <c r="B227" i="44" s="1"/>
  <c r="B228" i="44" s="1"/>
  <c r="B230" i="44" s="1"/>
  <c r="F228" i="44"/>
  <c r="N219" i="44"/>
  <c r="E76" i="13" l="1"/>
  <c r="G80" i="8" l="1"/>
  <c r="G79" i="8"/>
  <c r="G78" i="8"/>
  <c r="F280" i="1" l="1"/>
  <c r="H273" i="1"/>
  <c r="H272" i="1"/>
  <c r="H271" i="1"/>
  <c r="F137" i="1"/>
  <c r="I75" i="8" l="1"/>
  <c r="I76" i="8"/>
  <c r="I77" i="8"/>
  <c r="H104" i="1"/>
  <c r="E47" i="17" l="1"/>
  <c r="F47" i="17"/>
  <c r="I47" i="17"/>
  <c r="D44" i="18"/>
  <c r="G44" i="18"/>
  <c r="H44" i="18"/>
  <c r="I44" i="18"/>
  <c r="J44" i="18"/>
  <c r="K44" i="18"/>
  <c r="L44" i="18"/>
  <c r="N44" i="18"/>
  <c r="M44" i="18"/>
  <c r="F24" i="18"/>
  <c r="G24" i="18"/>
  <c r="H24" i="18"/>
  <c r="I24" i="18"/>
  <c r="J24" i="18"/>
  <c r="D23" i="7" l="1"/>
  <c r="D44" i="7" l="1"/>
  <c r="T136" i="9" l="1"/>
  <c r="Y136" i="9" s="1"/>
  <c r="M83" i="12" l="1"/>
  <c r="M82" i="12"/>
  <c r="M81" i="12"/>
  <c r="E83" i="12"/>
  <c r="E82" i="12"/>
  <c r="E81" i="12"/>
  <c r="BM32" i="15"/>
  <c r="BJ65" i="15"/>
  <c r="BJ68" i="15"/>
  <c r="BJ69" i="15" s="1"/>
  <c r="BI32" i="15"/>
  <c r="K81" i="12" l="1"/>
  <c r="BJ72" i="15"/>
  <c r="BJ73" i="15" s="1"/>
  <c r="BJ63" i="15"/>
  <c r="BJ66" i="15"/>
  <c r="BJ67" i="15" s="1"/>
  <c r="BJ74" i="15"/>
  <c r="BJ75" i="15" s="1"/>
  <c r="BJ62" i="15"/>
  <c r="BN73" i="15"/>
  <c r="BN70" i="15"/>
  <c r="BN67" i="15"/>
  <c r="BN63" i="15"/>
  <c r="BN71" i="15"/>
  <c r="BN75" i="15"/>
  <c r="BN72" i="15"/>
  <c r="BN66" i="15"/>
  <c r="BN62" i="15"/>
  <c r="BN68" i="15"/>
  <c r="BN74" i="15"/>
  <c r="BN69" i="15"/>
  <c r="BN65" i="15"/>
  <c r="K82" i="12"/>
  <c r="BN64" i="15"/>
  <c r="BJ70" i="15"/>
  <c r="BJ71" i="15" s="1"/>
  <c r="BJ64" i="15"/>
  <c r="BM62" i="15" l="1"/>
  <c r="BM63" i="15" l="1"/>
  <c r="BO63" i="15" s="1"/>
  <c r="BM64" i="15" s="1"/>
  <c r="BO62" i="15"/>
  <c r="BM65" i="15" l="1"/>
  <c r="BO65" i="15" s="1"/>
  <c r="BM66" i="15" s="1"/>
  <c r="BO64" i="15"/>
  <c r="BO66" i="15" l="1"/>
  <c r="BM67" i="15"/>
  <c r="BO67" i="15" s="1"/>
  <c r="BM68" i="15" s="1"/>
  <c r="BM69" i="15" l="1"/>
  <c r="BO69" i="15" s="1"/>
  <c r="BM70" i="15" s="1"/>
  <c r="BO68" i="15"/>
  <c r="BO70" i="15" l="1"/>
  <c r="BM71" i="15"/>
  <c r="BO71" i="15" s="1"/>
  <c r="BM72" i="15" s="1"/>
  <c r="BO72" i="15" l="1"/>
  <c r="BM73" i="15"/>
  <c r="BO73" i="15" s="1"/>
  <c r="BM74" i="15" s="1"/>
  <c r="BO74" i="15" l="1"/>
  <c r="BM75" i="15"/>
  <c r="BO75" i="15" s="1"/>
  <c r="H81" i="12" l="1"/>
  <c r="BI62" i="15"/>
  <c r="BI63" i="15" s="1"/>
  <c r="BK62" i="15" l="1"/>
  <c r="H82" i="12"/>
  <c r="BK63" i="15"/>
  <c r="BI64" i="15" s="1"/>
  <c r="BI65" i="15" s="1"/>
  <c r="BK64" i="15" l="1"/>
  <c r="BK65" i="15" l="1"/>
  <c r="BI66" i="15" s="1"/>
  <c r="BI67" i="15" s="1"/>
  <c r="BK67" i="15" l="1"/>
  <c r="BI68" i="15" s="1"/>
  <c r="BI69" i="15" s="1"/>
  <c r="BK66" i="15"/>
  <c r="BK68" i="15" l="1"/>
  <c r="BK69" i="15"/>
  <c r="BI70" i="15" s="1"/>
  <c r="BI71" i="15" s="1"/>
  <c r="BK71" i="15" l="1"/>
  <c r="BI72" i="15" s="1"/>
  <c r="BI73" i="15" s="1"/>
  <c r="BK70" i="15"/>
  <c r="BK72" i="15" l="1"/>
  <c r="BK73" i="15"/>
  <c r="BI74" i="15" s="1"/>
  <c r="BI75" i="15" s="1"/>
  <c r="BK74" i="15" l="1"/>
  <c r="BK75" i="15"/>
  <c r="BQ32" i="15" l="1"/>
  <c r="BR74" i="15" l="1"/>
  <c r="BR70" i="15"/>
  <c r="BR66" i="15"/>
  <c r="BR62" i="15"/>
  <c r="BR73" i="15"/>
  <c r="BR69" i="15"/>
  <c r="BR65" i="15"/>
  <c r="K83" i="12"/>
  <c r="BR71" i="15"/>
  <c r="BR63" i="15"/>
  <c r="BR72" i="15"/>
  <c r="BR68" i="15"/>
  <c r="BR64" i="15"/>
  <c r="BR75" i="15"/>
  <c r="BR67" i="15"/>
  <c r="F278" i="1" l="1"/>
  <c r="J110" i="9" l="1"/>
  <c r="K110" i="9"/>
  <c r="N110" i="9"/>
  <c r="O110" i="9"/>
  <c r="Q110" i="9"/>
  <c r="R110" i="9"/>
  <c r="S110" i="9"/>
  <c r="H110" i="9"/>
  <c r="I110" i="9"/>
  <c r="L110" i="9"/>
  <c r="M110" i="9"/>
  <c r="P110" i="9"/>
  <c r="M13" i="18" l="1"/>
  <c r="M14" i="18"/>
  <c r="M15" i="18"/>
  <c r="M16" i="18"/>
  <c r="M17" i="18"/>
  <c r="M18" i="18"/>
  <c r="M19" i="18"/>
  <c r="M20" i="18"/>
  <c r="M21" i="18"/>
  <c r="M22" i="18"/>
  <c r="L13" i="18"/>
  <c r="L14" i="18"/>
  <c r="L15" i="18"/>
  <c r="L16" i="18"/>
  <c r="L17" i="18"/>
  <c r="L18" i="18"/>
  <c r="L19" i="18"/>
  <c r="L20" i="18"/>
  <c r="L21" i="18"/>
  <c r="L22" i="18"/>
  <c r="K13" i="18"/>
  <c r="K14" i="18"/>
  <c r="K15" i="18"/>
  <c r="K16" i="18"/>
  <c r="K17" i="18"/>
  <c r="K18" i="18"/>
  <c r="K19" i="18"/>
  <c r="K20" i="18"/>
  <c r="K21" i="18"/>
  <c r="K22" i="18"/>
  <c r="BQ62" i="15" l="1"/>
  <c r="H83" i="12"/>
  <c r="F266" i="1"/>
  <c r="BS62" i="15" l="1"/>
  <c r="BQ63" i="15"/>
  <c r="BS63" i="15" s="1"/>
  <c r="BQ64" i="15" s="1"/>
  <c r="BS64" i="15" l="1"/>
  <c r="BQ65" i="15"/>
  <c r="BS65" i="15" s="1"/>
  <c r="BQ66" i="15" s="1"/>
  <c r="H13" i="9"/>
  <c r="BQ67" i="15" l="1"/>
  <c r="BS67" i="15" s="1"/>
  <c r="BQ68" i="15" s="1"/>
  <c r="BS66" i="15"/>
  <c r="BQ69" i="15" l="1"/>
  <c r="BS69" i="15" s="1"/>
  <c r="BQ70" i="15" s="1"/>
  <c r="BS68" i="15"/>
  <c r="BQ71" i="15" l="1"/>
  <c r="BS71" i="15" s="1"/>
  <c r="BQ72" i="15" s="1"/>
  <c r="BS70" i="15"/>
  <c r="BS72" i="15" l="1"/>
  <c r="BQ73" i="15"/>
  <c r="BS73" i="15" s="1"/>
  <c r="BQ74" i="15" s="1"/>
  <c r="BS74" i="15" l="1"/>
  <c r="BQ75" i="15"/>
  <c r="BS75" i="15" s="1"/>
  <c r="H157" i="1" l="1"/>
  <c r="G153" i="9"/>
  <c r="E12" i="33"/>
  <c r="E15" i="33"/>
  <c r="E16" i="33"/>
  <c r="H272" i="9" s="1"/>
  <c r="E17" i="33"/>
  <c r="E19" i="33"/>
  <c r="E20" i="33"/>
  <c r="E22" i="33"/>
  <c r="E23" i="33"/>
  <c r="G24" i="32" l="1"/>
  <c r="E21" i="33" l="1"/>
  <c r="E216" i="9"/>
  <c r="E219" i="9" s="1"/>
  <c r="E218" i="9" l="1"/>
  <c r="E220" i="9" s="1"/>
  <c r="F241" i="1" l="1"/>
  <c r="F240" i="1"/>
  <c r="F239" i="1"/>
  <c r="H169" i="1" l="1"/>
  <c r="E285" i="9" l="1"/>
  <c r="J24" i="33" l="1"/>
  <c r="J27" i="33" s="1"/>
  <c r="A11" i="33"/>
  <c r="A12" i="33" s="1"/>
  <c r="A13" i="33" s="1"/>
  <c r="A14" i="33" s="1"/>
  <c r="A15" i="33" s="1"/>
  <c r="A16" i="33" s="1"/>
  <c r="A17" i="33" s="1"/>
  <c r="A18" i="33" s="1"/>
  <c r="A19" i="33" s="1"/>
  <c r="A20" i="33" s="1"/>
  <c r="A21" i="33" s="1"/>
  <c r="A22" i="33" s="1"/>
  <c r="A23" i="33" s="1"/>
  <c r="A24" i="33" s="1"/>
  <c r="A26" i="33" s="1"/>
  <c r="A27" i="33" s="1"/>
  <c r="A28" i="33" s="1"/>
  <c r="F37" i="32"/>
  <c r="E37" i="32"/>
  <c r="G255" i="9" s="1"/>
  <c r="G36" i="32"/>
  <c r="G35" i="32"/>
  <c r="G34" i="32"/>
  <c r="G32" i="32"/>
  <c r="G31" i="32"/>
  <c r="G30" i="32"/>
  <c r="G29" i="32"/>
  <c r="G28" i="32"/>
  <c r="G27" i="32"/>
  <c r="G26" i="32"/>
  <c r="G25" i="32"/>
  <c r="G23" i="32"/>
  <c r="G22" i="32"/>
  <c r="G19" i="32"/>
  <c r="G18" i="32"/>
  <c r="G17" i="32"/>
  <c r="G16" i="32"/>
  <c r="G15" i="32"/>
  <c r="G14" i="32"/>
  <c r="G13" i="32"/>
  <c r="G12" i="32"/>
  <c r="G11" i="32"/>
  <c r="A11" i="32"/>
  <c r="A12" i="32" s="1"/>
  <c r="A13" i="32" s="1"/>
  <c r="A14" i="32" s="1"/>
  <c r="A15" i="32" s="1"/>
  <c r="A16" i="32" s="1"/>
  <c r="A17" i="32" s="1"/>
  <c r="A18" i="32" s="1"/>
  <c r="A19" i="32" s="1"/>
  <c r="G10" i="32"/>
  <c r="T124" i="9"/>
  <c r="Y124" i="9" s="1"/>
  <c r="T125" i="9"/>
  <c r="Y125" i="9" s="1"/>
  <c r="A20" i="32" l="1"/>
  <c r="A21" i="32" s="1"/>
  <c r="A22" i="32" s="1"/>
  <c r="A23" i="32" s="1"/>
  <c r="A24" i="32" s="1"/>
  <c r="A25" i="32" s="1"/>
  <c r="A26" i="32" s="1"/>
  <c r="A27" i="32" s="1"/>
  <c r="A28" i="32" s="1"/>
  <c r="A29" i="32" s="1"/>
  <c r="A30" i="32" s="1"/>
  <c r="A31" i="32" s="1"/>
  <c r="A32" i="32" s="1"/>
  <c r="G37" i="32"/>
  <c r="S140" i="9"/>
  <c r="R140" i="9"/>
  <c r="Q140" i="9"/>
  <c r="P140" i="9"/>
  <c r="O140" i="9"/>
  <c r="N140" i="9"/>
  <c r="M140" i="9"/>
  <c r="L140" i="9"/>
  <c r="K140" i="9"/>
  <c r="J140" i="9"/>
  <c r="I140" i="9"/>
  <c r="H140" i="9"/>
  <c r="G140" i="9"/>
  <c r="T137" i="9"/>
  <c r="Y137" i="9" s="1"/>
  <c r="AA137" i="9" s="1"/>
  <c r="T135" i="9"/>
  <c r="Y135" i="9" s="1"/>
  <c r="T134" i="9"/>
  <c r="Y134" i="9" s="1"/>
  <c r="T133" i="9"/>
  <c r="Y133" i="9" s="1"/>
  <c r="T132" i="9"/>
  <c r="Y132" i="9" s="1"/>
  <c r="T131" i="9"/>
  <c r="Y131" i="9" s="1"/>
  <c r="T130" i="9"/>
  <c r="Y130" i="9" s="1"/>
  <c r="T129" i="9"/>
  <c r="Y129" i="9" s="1"/>
  <c r="T128" i="9"/>
  <c r="Y128" i="9" s="1"/>
  <c r="T127" i="9"/>
  <c r="Y127" i="9" s="1"/>
  <c r="T126" i="9"/>
  <c r="Y126" i="9" s="1"/>
  <c r="T123" i="9"/>
  <c r="Y123" i="9" s="1"/>
  <c r="T122" i="9"/>
  <c r="Y122" i="9" s="1"/>
  <c r="T121" i="9"/>
  <c r="Y121" i="9" s="1"/>
  <c r="T120" i="9"/>
  <c r="V120" i="9" s="1"/>
  <c r="A33" i="32" l="1"/>
  <c r="A34" i="32" s="1"/>
  <c r="A35" i="32" s="1"/>
  <c r="A36" i="32" s="1"/>
  <c r="A37" i="32" s="1"/>
  <c r="A40" i="32" s="1"/>
  <c r="G40" i="32"/>
  <c r="AB140" i="9"/>
  <c r="T140" i="9"/>
  <c r="Y140" i="9"/>
  <c r="V140" i="9"/>
  <c r="H144" i="1" l="1"/>
  <c r="A20" i="7"/>
  <c r="G19" i="7"/>
  <c r="G18" i="7"/>
  <c r="G17" i="7"/>
  <c r="G16" i="7"/>
  <c r="G15" i="7"/>
  <c r="G13" i="7"/>
  <c r="G14" i="7"/>
  <c r="G12" i="7"/>
  <c r="G7" i="7"/>
  <c r="G8" i="7" s="1"/>
  <c r="D33" i="7" l="1"/>
  <c r="I314" i="42" l="1"/>
  <c r="I318" i="42" s="1"/>
  <c r="I177" i="42"/>
  <c r="I181" i="42" s="1"/>
  <c r="I294" i="42"/>
  <c r="I298" i="42" s="1"/>
  <c r="I15" i="42" s="1"/>
  <c r="I150" i="42"/>
  <c r="I154" i="42" s="1"/>
  <c r="I13" i="42" s="1"/>
  <c r="I223" i="42"/>
  <c r="I227" i="42" s="1"/>
  <c r="I14" i="42" s="1"/>
  <c r="I79" i="42"/>
  <c r="I83" i="42" s="1"/>
  <c r="I11" i="42" s="1"/>
  <c r="I106" i="42"/>
  <c r="I110" i="42" s="1"/>
  <c r="I250" i="42"/>
  <c r="I254" i="42" s="1"/>
  <c r="H149" i="9"/>
  <c r="Z136" i="9"/>
  <c r="AA136" i="9" s="1"/>
  <c r="G26" i="33"/>
  <c r="Z124" i="9"/>
  <c r="AA124" i="9" s="1"/>
  <c r="AC124" i="9" s="1"/>
  <c r="Z128" i="9"/>
  <c r="AA128" i="9" s="1"/>
  <c r="Z132" i="9"/>
  <c r="AA132" i="9" s="1"/>
  <c r="Z120" i="9"/>
  <c r="AA120" i="9" s="1"/>
  <c r="Z121" i="9"/>
  <c r="AA121" i="9" s="1"/>
  <c r="Z125" i="9"/>
  <c r="AA125" i="9" s="1"/>
  <c r="AC125" i="9" s="1"/>
  <c r="Z129" i="9"/>
  <c r="AA129" i="9" s="1"/>
  <c r="Z133" i="9"/>
  <c r="AA133" i="9" s="1"/>
  <c r="Z122" i="9"/>
  <c r="AA122" i="9" s="1"/>
  <c r="Z126" i="9"/>
  <c r="AA126" i="9" s="1"/>
  <c r="Z130" i="9"/>
  <c r="AA130" i="9" s="1"/>
  <c r="Z134" i="9"/>
  <c r="AA134" i="9" s="1"/>
  <c r="Z123" i="9"/>
  <c r="AA123" i="9" s="1"/>
  <c r="Z127" i="9"/>
  <c r="AA127" i="9" s="1"/>
  <c r="Z131" i="9"/>
  <c r="AA131" i="9" s="1"/>
  <c r="Z135" i="9"/>
  <c r="AA135" i="9" s="1"/>
  <c r="T96" i="9"/>
  <c r="F20" i="7"/>
  <c r="G20" i="7" s="1"/>
  <c r="T109" i="9" l="1"/>
  <c r="T108" i="9"/>
  <c r="T100" i="9"/>
  <c r="I17" i="42"/>
  <c r="T111" i="9"/>
  <c r="T101" i="9"/>
  <c r="T102" i="9" s="1"/>
  <c r="T99" i="9"/>
  <c r="AA140" i="9"/>
  <c r="E60" i="18" l="1"/>
  <c r="E59" i="18"/>
  <c r="E58" i="18"/>
  <c r="E26" i="14" l="1"/>
  <c r="J48" i="13" s="1"/>
  <c r="E281" i="9" l="1"/>
  <c r="E283" i="9" s="1"/>
  <c r="E284" i="9" s="1"/>
  <c r="E286" i="9" l="1"/>
  <c r="E287" i="9" s="1"/>
  <c r="E279" i="9" s="1"/>
  <c r="C74" i="19" l="1"/>
  <c r="I244" i="9"/>
  <c r="C43" i="18" s="1"/>
  <c r="I246" i="9"/>
  <c r="D23" i="18" s="1"/>
  <c r="I248" i="9"/>
  <c r="E43" i="18" s="1"/>
  <c r="I247" i="9"/>
  <c r="E23" i="18" s="1"/>
  <c r="E44" i="18" l="1"/>
  <c r="C44" i="18"/>
  <c r="I243" i="9"/>
  <c r="C23" i="18" s="1"/>
  <c r="I245" i="9"/>
  <c r="F43" i="18" s="1"/>
  <c r="E24" i="18"/>
  <c r="F44" i="18" l="1"/>
  <c r="L23" i="18"/>
  <c r="D24" i="18"/>
  <c r="G33" i="9"/>
  <c r="C24" i="18"/>
  <c r="M23" i="18"/>
  <c r="F332" i="1" l="1"/>
  <c r="F193" i="1" l="1"/>
  <c r="F64" i="1" l="1"/>
  <c r="F58" i="1"/>
  <c r="H187" i="1" l="1"/>
  <c r="H191" i="1" l="1"/>
  <c r="H189" i="1"/>
  <c r="I266" i="9" l="1"/>
  <c r="H198" i="1" s="1"/>
  <c r="I265" i="9"/>
  <c r="H197" i="1" s="1"/>
  <c r="I262" i="9"/>
  <c r="H185" i="1" s="1"/>
  <c r="F87" i="1" l="1"/>
  <c r="F85" i="1"/>
  <c r="F83" i="1"/>
  <c r="F336" i="1" l="1"/>
  <c r="F327" i="1"/>
  <c r="F325" i="1"/>
  <c r="F324" i="1"/>
  <c r="F323" i="1"/>
  <c r="F322" i="1"/>
  <c r="F320" i="1"/>
  <c r="F316" i="1"/>
  <c r="F315" i="1"/>
  <c r="F314" i="1"/>
  <c r="F313" i="1"/>
  <c r="F312" i="1"/>
  <c r="F309" i="1"/>
  <c r="F303" i="1"/>
  <c r="F302" i="1"/>
  <c r="F301" i="1"/>
  <c r="F300" i="1"/>
  <c r="F298" i="1"/>
  <c r="F295" i="1"/>
  <c r="F293" i="1"/>
  <c r="F292" i="1"/>
  <c r="F291" i="1"/>
  <c r="F290" i="1"/>
  <c r="F289" i="1"/>
  <c r="F287" i="1"/>
  <c r="F286" i="1"/>
  <c r="F285" i="1"/>
  <c r="F252" i="1"/>
  <c r="F250" i="1"/>
  <c r="F249" i="1"/>
  <c r="F248" i="1"/>
  <c r="F247" i="1"/>
  <c r="F244" i="1"/>
  <c r="F243" i="1"/>
  <c r="F237" i="1"/>
  <c r="F236" i="1"/>
  <c r="F234" i="1"/>
  <c r="F233" i="1"/>
  <c r="F223" i="1"/>
  <c r="F210" i="1"/>
  <c r="F204" i="1"/>
  <c r="F201" i="1"/>
  <c r="F200" i="1"/>
  <c r="F199" i="1"/>
  <c r="F195" i="1"/>
  <c r="F194" i="1"/>
  <c r="F139" i="1"/>
  <c r="F135" i="1"/>
  <c r="F134" i="1"/>
  <c r="F130" i="1"/>
  <c r="F128" i="1"/>
  <c r="F125" i="1"/>
  <c r="F123" i="1"/>
  <c r="F122" i="1"/>
  <c r="F89" i="1"/>
  <c r="F84" i="1"/>
  <c r="F70" i="1"/>
  <c r="F66" i="1"/>
  <c r="F65" i="1"/>
  <c r="H35" i="17"/>
  <c r="H36" i="17" l="1"/>
  <c r="H37" i="17" s="1"/>
  <c r="H38" i="17" s="1"/>
  <c r="H39" i="17" s="1"/>
  <c r="H40" i="17" s="1"/>
  <c r="H41" i="17" s="1"/>
  <c r="H42" i="17" s="1"/>
  <c r="H43" i="17" s="1"/>
  <c r="H44" i="17" s="1"/>
  <c r="H45" i="17" s="1"/>
  <c r="H75" i="1"/>
  <c r="H63" i="1"/>
  <c r="F76" i="1"/>
  <c r="F29" i="1"/>
  <c r="H55" i="1"/>
  <c r="H47" i="17" l="1"/>
  <c r="F164" i="1" l="1"/>
  <c r="F151" i="1"/>
  <c r="A32" i="1"/>
  <c r="H39" i="1"/>
  <c r="H37" i="1"/>
  <c r="F30" i="1"/>
  <c r="A34" i="1" l="1"/>
  <c r="F80" i="1" s="1"/>
  <c r="A36" i="1" l="1"/>
  <c r="F81" i="1" s="1"/>
  <c r="D51" i="18"/>
  <c r="F51" i="18"/>
  <c r="D63" i="18"/>
  <c r="E63" i="18"/>
  <c r="F63" i="18"/>
  <c r="C63" i="18"/>
  <c r="C51" i="18"/>
  <c r="L11" i="18"/>
  <c r="K23" i="18"/>
  <c r="K11" i="18"/>
  <c r="M11" i="18"/>
  <c r="A38" i="1" l="1"/>
  <c r="E52" i="18"/>
  <c r="F82" i="1" l="1"/>
  <c r="F40" i="1"/>
  <c r="F52" i="18"/>
  <c r="E53" i="18"/>
  <c r="F53" i="18" l="1"/>
  <c r="E54" i="18"/>
  <c r="E55" i="18" l="1"/>
  <c r="F54" i="18"/>
  <c r="F55" i="18" l="1"/>
  <c r="E56" i="18"/>
  <c r="F56" i="18" l="1"/>
  <c r="E57" i="18"/>
  <c r="F57" i="18" l="1"/>
  <c r="F58" i="18" l="1"/>
  <c r="F59" i="18" l="1"/>
  <c r="E62" i="18" l="1"/>
  <c r="E61" i="18"/>
  <c r="F60" i="18"/>
  <c r="E64" i="18" l="1"/>
  <c r="F62" i="18"/>
  <c r="F61" i="18"/>
  <c r="D34" i="7"/>
  <c r="M80" i="12"/>
  <c r="E80" i="12"/>
  <c r="M79" i="12"/>
  <c r="E79" i="12"/>
  <c r="M78" i="12"/>
  <c r="E78" i="12"/>
  <c r="M77" i="12"/>
  <c r="E77" i="12"/>
  <c r="M76" i="12"/>
  <c r="E76" i="12"/>
  <c r="M75" i="12"/>
  <c r="E75" i="12"/>
  <c r="M74" i="12"/>
  <c r="E74" i="12"/>
  <c r="M73" i="12"/>
  <c r="M72" i="12"/>
  <c r="M71" i="12"/>
  <c r="M70" i="12"/>
  <c r="M69" i="12"/>
  <c r="M68" i="12"/>
  <c r="M67" i="12"/>
  <c r="E67" i="12"/>
  <c r="F64" i="18" l="1"/>
  <c r="D57" i="15"/>
  <c r="D59" i="15" s="1"/>
  <c r="D61" i="15" s="1"/>
  <c r="D63" i="15" s="1"/>
  <c r="D65" i="15" s="1"/>
  <c r="D67" i="15" s="1"/>
  <c r="D69" i="15" s="1"/>
  <c r="D71" i="15" s="1"/>
  <c r="D73" i="15" s="1"/>
  <c r="D75" i="15" s="1"/>
  <c r="C57" i="15"/>
  <c r="C59" i="15" s="1"/>
  <c r="C61" i="15" s="1"/>
  <c r="C63" i="15" s="1"/>
  <c r="C65" i="15" s="1"/>
  <c r="C67" i="15" s="1"/>
  <c r="C69" i="15" s="1"/>
  <c r="C71" i="15" s="1"/>
  <c r="C73" i="15" s="1"/>
  <c r="C75" i="15" s="1"/>
  <c r="D56" i="15"/>
  <c r="D58" i="15" s="1"/>
  <c r="D60" i="15" s="1"/>
  <c r="D62" i="15" s="1"/>
  <c r="D64" i="15" s="1"/>
  <c r="D66" i="15" s="1"/>
  <c r="D68" i="15" s="1"/>
  <c r="D70" i="15" s="1"/>
  <c r="D72" i="15" s="1"/>
  <c r="D74" i="15" s="1"/>
  <c r="C56" i="15"/>
  <c r="C58" i="15" s="1"/>
  <c r="C60" i="15" s="1"/>
  <c r="C62" i="15" s="1"/>
  <c r="C64" i="15" s="1"/>
  <c r="C66" i="15" s="1"/>
  <c r="C68" i="15" s="1"/>
  <c r="C70" i="15" s="1"/>
  <c r="C72" i="15" s="1"/>
  <c r="C74" i="15" s="1"/>
  <c r="D39" i="15"/>
  <c r="D41" i="15" s="1"/>
  <c r="D43" i="15" s="1"/>
  <c r="D45" i="15" s="1"/>
  <c r="D47" i="15" s="1"/>
  <c r="D49" i="15" s="1"/>
  <c r="D51" i="15" s="1"/>
  <c r="D53" i="15" s="1"/>
  <c r="C39" i="15"/>
  <c r="C41" i="15" s="1"/>
  <c r="C43" i="15" s="1"/>
  <c r="C45" i="15" s="1"/>
  <c r="C47" i="15" s="1"/>
  <c r="C49" i="15" s="1"/>
  <c r="C51" i="15" s="1"/>
  <c r="C53" i="15" s="1"/>
  <c r="D38" i="15"/>
  <c r="D40" i="15" s="1"/>
  <c r="D42" i="15" s="1"/>
  <c r="D44" i="15" s="1"/>
  <c r="D46" i="15" s="1"/>
  <c r="D48" i="15" s="1"/>
  <c r="D50" i="15" s="1"/>
  <c r="D52" i="15" s="1"/>
  <c r="C36" i="15"/>
  <c r="C38" i="15" s="1"/>
  <c r="C40" i="15" s="1"/>
  <c r="C42" i="15" s="1"/>
  <c r="C44" i="15" s="1"/>
  <c r="C46" i="15" s="1"/>
  <c r="C48" i="15" s="1"/>
  <c r="C50" i="15" s="1"/>
  <c r="C52" i="15" s="1"/>
  <c r="BE32" i="15"/>
  <c r="BA32" i="15"/>
  <c r="AW32" i="15"/>
  <c r="AS32" i="15"/>
  <c r="AO32" i="15"/>
  <c r="AK32" i="15"/>
  <c r="AG32" i="15"/>
  <c r="E32" i="15"/>
  <c r="AC31" i="15"/>
  <c r="Y31" i="15"/>
  <c r="E72" i="12" s="1"/>
  <c r="U31" i="15"/>
  <c r="Q31" i="15"/>
  <c r="M31" i="15"/>
  <c r="I31" i="15"/>
  <c r="E68" i="12" s="1"/>
  <c r="H330" i="1"/>
  <c r="Y32" i="15" l="1"/>
  <c r="I32" i="15"/>
  <c r="M32" i="15"/>
  <c r="N70" i="15" s="1"/>
  <c r="N71" i="15" s="1"/>
  <c r="E69" i="12"/>
  <c r="U32" i="15"/>
  <c r="V74" i="15" s="1"/>
  <c r="V75" i="15" s="1"/>
  <c r="E71" i="12"/>
  <c r="AC32" i="15"/>
  <c r="AD72" i="15" s="1"/>
  <c r="AD73" i="15" s="1"/>
  <c r="E73" i="12"/>
  <c r="Q32" i="15"/>
  <c r="R70" i="15" s="1"/>
  <c r="R71" i="15" s="1"/>
  <c r="E70" i="12"/>
  <c r="N74" i="15"/>
  <c r="N75" i="15" s="1"/>
  <c r="N72" i="15"/>
  <c r="N73" i="15" s="1"/>
  <c r="F74" i="15"/>
  <c r="F75" i="15" s="1"/>
  <c r="F72" i="15"/>
  <c r="F73" i="15" s="1"/>
  <c r="F70" i="15"/>
  <c r="F71" i="15" s="1"/>
  <c r="F68" i="15"/>
  <c r="F69" i="15" s="1"/>
  <c r="F66" i="15"/>
  <c r="F67" i="15" s="1"/>
  <c r="F64" i="15"/>
  <c r="F65" i="15" s="1"/>
  <c r="F62" i="15"/>
  <c r="F63" i="15" s="1"/>
  <c r="K67" i="12"/>
  <c r="AT74" i="15"/>
  <c r="AT75" i="15" s="1"/>
  <c r="AT72" i="15"/>
  <c r="AT73" i="15" s="1"/>
  <c r="AT70" i="15"/>
  <c r="AT71" i="15" s="1"/>
  <c r="AT68" i="15"/>
  <c r="AT69" i="15" s="1"/>
  <c r="AT66" i="15"/>
  <c r="AT67" i="15" s="1"/>
  <c r="AT64" i="15"/>
  <c r="AT65" i="15" s="1"/>
  <c r="AT62" i="15"/>
  <c r="AT63" i="15" s="1"/>
  <c r="K77" i="12"/>
  <c r="AH74" i="15"/>
  <c r="AH75" i="15" s="1"/>
  <c r="AH72" i="15"/>
  <c r="AH73" i="15" s="1"/>
  <c r="AH70" i="15"/>
  <c r="AH71" i="15" s="1"/>
  <c r="AH68" i="15"/>
  <c r="AH69" i="15" s="1"/>
  <c r="AH64" i="15"/>
  <c r="AH65" i="15" s="1"/>
  <c r="AH62" i="15"/>
  <c r="AH63" i="15" s="1"/>
  <c r="AH66" i="15"/>
  <c r="AH67" i="15" s="1"/>
  <c r="K74" i="12"/>
  <c r="AX74" i="15"/>
  <c r="AX75" i="15" s="1"/>
  <c r="AX72" i="15"/>
  <c r="AX73" i="15" s="1"/>
  <c r="AX70" i="15"/>
  <c r="AX71" i="15" s="1"/>
  <c r="AX68" i="15"/>
  <c r="AX69" i="15" s="1"/>
  <c r="AX64" i="15"/>
  <c r="AX65" i="15" s="1"/>
  <c r="AX62" i="15"/>
  <c r="AX63" i="15" s="1"/>
  <c r="AX66" i="15"/>
  <c r="AX67" i="15" s="1"/>
  <c r="K78" i="12"/>
  <c r="Z74" i="15"/>
  <c r="Z75" i="15" s="1"/>
  <c r="Z72" i="15"/>
  <c r="Z73" i="15" s="1"/>
  <c r="Z70" i="15"/>
  <c r="Z71" i="15" s="1"/>
  <c r="Z68" i="15"/>
  <c r="Z69" i="15" s="1"/>
  <c r="Z66" i="15"/>
  <c r="Z67" i="15" s="1"/>
  <c r="Z64" i="15"/>
  <c r="Z65" i="15" s="1"/>
  <c r="Z62" i="15"/>
  <c r="Z63" i="15" s="1"/>
  <c r="K72" i="12"/>
  <c r="BF74" i="15"/>
  <c r="BF75" i="15" s="1"/>
  <c r="BF72" i="15"/>
  <c r="BF73" i="15" s="1"/>
  <c r="BF70" i="15"/>
  <c r="BF71" i="15" s="1"/>
  <c r="BF68" i="15"/>
  <c r="BF69" i="15" s="1"/>
  <c r="BF66" i="15"/>
  <c r="BF67" i="15" s="1"/>
  <c r="BF64" i="15"/>
  <c r="BF65" i="15" s="1"/>
  <c r="BF62" i="15"/>
  <c r="BF63" i="15" s="1"/>
  <c r="K80" i="12"/>
  <c r="AL74" i="15"/>
  <c r="AL75" i="15" s="1"/>
  <c r="AL72" i="15"/>
  <c r="AL73" i="15" s="1"/>
  <c r="AL70" i="15"/>
  <c r="AL71" i="15" s="1"/>
  <c r="AL68" i="15"/>
  <c r="AL69" i="15" s="1"/>
  <c r="AL64" i="15"/>
  <c r="AL65" i="15" s="1"/>
  <c r="AL62" i="15"/>
  <c r="AL63" i="15" s="1"/>
  <c r="AL66" i="15"/>
  <c r="AL67" i="15" s="1"/>
  <c r="K75" i="12"/>
  <c r="AP74" i="15"/>
  <c r="AP75" i="15" s="1"/>
  <c r="AP72" i="15"/>
  <c r="AP73" i="15" s="1"/>
  <c r="AP70" i="15"/>
  <c r="AP71" i="15" s="1"/>
  <c r="AP68" i="15"/>
  <c r="AP69" i="15" s="1"/>
  <c r="AP66" i="15"/>
  <c r="AP67" i="15" s="1"/>
  <c r="AP64" i="15"/>
  <c r="AP65" i="15" s="1"/>
  <c r="AP62" i="15"/>
  <c r="AP63" i="15" s="1"/>
  <c r="K76" i="12"/>
  <c r="J74" i="15"/>
  <c r="J75" i="15" s="1"/>
  <c r="J72" i="15"/>
  <c r="J73" i="15" s="1"/>
  <c r="J70" i="15"/>
  <c r="J71" i="15" s="1"/>
  <c r="J68" i="15"/>
  <c r="J69" i="15" s="1"/>
  <c r="J66" i="15"/>
  <c r="J67" i="15" s="1"/>
  <c r="J64" i="15"/>
  <c r="J65" i="15" s="1"/>
  <c r="J62" i="15"/>
  <c r="J63" i="15" s="1"/>
  <c r="K68" i="12"/>
  <c r="BB74" i="15"/>
  <c r="BB75" i="15" s="1"/>
  <c r="BB72" i="15"/>
  <c r="BB73" i="15" s="1"/>
  <c r="BB70" i="15"/>
  <c r="BB71" i="15" s="1"/>
  <c r="BB68" i="15"/>
  <c r="BB69" i="15" s="1"/>
  <c r="BB64" i="15"/>
  <c r="BB65" i="15" s="1"/>
  <c r="BB62" i="15"/>
  <c r="BB63" i="15" s="1"/>
  <c r="BB66" i="15"/>
  <c r="BB67" i="15" s="1"/>
  <c r="K79" i="12"/>
  <c r="K73" i="12" l="1"/>
  <c r="AD74" i="15"/>
  <c r="AD75" i="15" s="1"/>
  <c r="AD66" i="15"/>
  <c r="AD67" i="15" s="1"/>
  <c r="N64" i="15"/>
  <c r="N65" i="15" s="1"/>
  <c r="AD68" i="15"/>
  <c r="AD69" i="15" s="1"/>
  <c r="N66" i="15"/>
  <c r="N67" i="15" s="1"/>
  <c r="AD62" i="15"/>
  <c r="AD63" i="15" s="1"/>
  <c r="AD70" i="15"/>
  <c r="AD71" i="15" s="1"/>
  <c r="K69" i="12"/>
  <c r="N68" i="15"/>
  <c r="N69" i="15" s="1"/>
  <c r="AD64" i="15"/>
  <c r="AD65" i="15" s="1"/>
  <c r="N62" i="15"/>
  <c r="N63" i="15" s="1"/>
  <c r="R62" i="15"/>
  <c r="R63" i="15" s="1"/>
  <c r="R72" i="15"/>
  <c r="R73" i="15" s="1"/>
  <c r="V68" i="15"/>
  <c r="V69" i="15" s="1"/>
  <c r="R64" i="15"/>
  <c r="R65" i="15" s="1"/>
  <c r="R74" i="15"/>
  <c r="R75" i="15" s="1"/>
  <c r="K71" i="12"/>
  <c r="V70" i="15"/>
  <c r="V71" i="15" s="1"/>
  <c r="K70" i="12"/>
  <c r="R68" i="15"/>
  <c r="R69" i="15" s="1"/>
  <c r="V66" i="15"/>
  <c r="V67" i="15" s="1"/>
  <c r="V72" i="15"/>
  <c r="V73" i="15" s="1"/>
  <c r="R66" i="15"/>
  <c r="R67" i="15" s="1"/>
  <c r="V62" i="15"/>
  <c r="V63" i="15" s="1"/>
  <c r="V64" i="15"/>
  <c r="V65" i="15" s="1"/>
  <c r="K66" i="12" l="1"/>
  <c r="K93" i="12" s="1"/>
  <c r="H76" i="12"/>
  <c r="H77" i="12"/>
  <c r="H75" i="12"/>
  <c r="H80" i="12"/>
  <c r="H74" i="12"/>
  <c r="H78" i="12" l="1"/>
  <c r="H67" i="12"/>
  <c r="H73" i="12"/>
  <c r="H69" i="12"/>
  <c r="H72" i="12"/>
  <c r="BE63" i="15"/>
  <c r="BG63" i="15" s="1"/>
  <c r="BE62" i="15"/>
  <c r="BG62" i="15" s="1"/>
  <c r="AK63" i="15"/>
  <c r="AM63" i="15" s="1"/>
  <c r="AK62" i="15"/>
  <c r="AM62" i="15" s="1"/>
  <c r="AG63" i="15"/>
  <c r="AI63" i="15" s="1"/>
  <c r="AG62" i="15"/>
  <c r="AI62" i="15" s="1"/>
  <c r="AS63" i="15"/>
  <c r="AU63" i="15" s="1"/>
  <c r="AS62" i="15"/>
  <c r="AU62" i="15" s="1"/>
  <c r="AO63" i="15"/>
  <c r="AQ63" i="15" s="1"/>
  <c r="AO62" i="15"/>
  <c r="AQ62" i="15" s="1"/>
  <c r="AW62" i="15" l="1"/>
  <c r="AY62" i="15" s="1"/>
  <c r="AW63" i="15"/>
  <c r="AY63" i="15" s="1"/>
  <c r="AW65" i="15" s="1"/>
  <c r="AY65" i="15" s="1"/>
  <c r="BA62" i="15"/>
  <c r="BC62" i="15" s="1"/>
  <c r="H79" i="12"/>
  <c r="BA63" i="15"/>
  <c r="BC63" i="15" s="1"/>
  <c r="BA64" i="15" s="1"/>
  <c r="BC64" i="15" s="1"/>
  <c r="AG65" i="15"/>
  <c r="AI65" i="15" s="1"/>
  <c r="AG64" i="15"/>
  <c r="AI64" i="15" s="1"/>
  <c r="AS65" i="15"/>
  <c r="AU65" i="15" s="1"/>
  <c r="AS64" i="15"/>
  <c r="AU64" i="15" s="1"/>
  <c r="AK65" i="15"/>
  <c r="AM65" i="15" s="1"/>
  <c r="AK64" i="15"/>
  <c r="AM64" i="15" s="1"/>
  <c r="E62" i="15"/>
  <c r="AW64" i="15"/>
  <c r="AY64" i="15" s="1"/>
  <c r="AO65" i="15"/>
  <c r="AQ65" i="15" s="1"/>
  <c r="AO64" i="15"/>
  <c r="AQ64" i="15" s="1"/>
  <c r="AC62" i="15"/>
  <c r="Y62" i="15"/>
  <c r="BE65" i="15"/>
  <c r="BG65" i="15" s="1"/>
  <c r="BE64" i="15"/>
  <c r="BG64" i="15" s="1"/>
  <c r="M62" i="15"/>
  <c r="H70" i="12"/>
  <c r="BA65" i="15" l="1"/>
  <c r="BC65" i="15" s="1"/>
  <c r="U62" i="15"/>
  <c r="H71" i="12"/>
  <c r="I62" i="15"/>
  <c r="K62" i="15" s="1"/>
  <c r="H68" i="12"/>
  <c r="AW67" i="15"/>
  <c r="AY67" i="15" s="1"/>
  <c r="AW66" i="15"/>
  <c r="AY66" i="15" s="1"/>
  <c r="AS67" i="15"/>
  <c r="AU67" i="15" s="1"/>
  <c r="AS66" i="15"/>
  <c r="AU66" i="15" s="1"/>
  <c r="Q62" i="15"/>
  <c r="AA62" i="15"/>
  <c r="Y63" i="15"/>
  <c r="AA63" i="15" s="1"/>
  <c r="BA66" i="15"/>
  <c r="BC66" i="15" s="1"/>
  <c r="BA67" i="15"/>
  <c r="BC67" i="15" s="1"/>
  <c r="AO66" i="15"/>
  <c r="AQ66" i="15" s="1"/>
  <c r="AO67" i="15"/>
  <c r="AQ67" i="15" s="1"/>
  <c r="AK67" i="15"/>
  <c r="AM67" i="15" s="1"/>
  <c r="AK66" i="15"/>
  <c r="AM66" i="15" s="1"/>
  <c r="O62" i="15"/>
  <c r="M63" i="15"/>
  <c r="O63" i="15" s="1"/>
  <c r="BE67" i="15"/>
  <c r="BG67" i="15" s="1"/>
  <c r="BE66" i="15"/>
  <c r="BG66" i="15" s="1"/>
  <c r="AE62" i="15"/>
  <c r="AC63" i="15"/>
  <c r="AE63" i="15" s="1"/>
  <c r="G62" i="15"/>
  <c r="E63" i="15"/>
  <c r="G63" i="15" s="1"/>
  <c r="W62" i="15"/>
  <c r="U63" i="15"/>
  <c r="W63" i="15" s="1"/>
  <c r="AG67" i="15"/>
  <c r="AI67" i="15" s="1"/>
  <c r="AG66" i="15"/>
  <c r="AI66" i="15" s="1"/>
  <c r="I63" i="15" l="1"/>
  <c r="K63" i="15" s="1"/>
  <c r="I64" i="15" s="1"/>
  <c r="AW69" i="15"/>
  <c r="AY69" i="15" s="1"/>
  <c r="AW68" i="15"/>
  <c r="AY68" i="15" s="1"/>
  <c r="AG69" i="15"/>
  <c r="AI69" i="15" s="1"/>
  <c r="AG68" i="15"/>
  <c r="AI68" i="15" s="1"/>
  <c r="M64" i="15"/>
  <c r="BA69" i="15"/>
  <c r="BC69" i="15" s="1"/>
  <c r="BA68" i="15"/>
  <c r="BC68" i="15" s="1"/>
  <c r="AS69" i="15"/>
  <c r="AU69" i="15" s="1"/>
  <c r="AS68" i="15"/>
  <c r="AU68" i="15" s="1"/>
  <c r="AC64" i="15"/>
  <c r="BE69" i="15"/>
  <c r="BG69" i="15" s="1"/>
  <c r="BE68" i="15"/>
  <c r="BG68" i="15" s="1"/>
  <c r="U64" i="15"/>
  <c r="E64" i="15"/>
  <c r="AO69" i="15"/>
  <c r="AQ69" i="15" s="1"/>
  <c r="AO68" i="15"/>
  <c r="AQ68" i="15" s="1"/>
  <c r="S62" i="15"/>
  <c r="Q63" i="15"/>
  <c r="S63" i="15" s="1"/>
  <c r="AK69" i="15"/>
  <c r="AM69" i="15" s="1"/>
  <c r="AK68" i="15"/>
  <c r="AM68" i="15" s="1"/>
  <c r="Y64" i="15"/>
  <c r="AA64" i="15" l="1"/>
  <c r="Y65" i="15"/>
  <c r="AA65" i="15" s="1"/>
  <c r="G64" i="15"/>
  <c r="E65" i="15"/>
  <c r="G65" i="15" s="1"/>
  <c r="AS71" i="15"/>
  <c r="AU71" i="15" s="1"/>
  <c r="AS70" i="15"/>
  <c r="AU70" i="15" s="1"/>
  <c r="AG71" i="15"/>
  <c r="AI71" i="15" s="1"/>
  <c r="AG70" i="15"/>
  <c r="AI70" i="15" s="1"/>
  <c r="BE71" i="15"/>
  <c r="BG71" i="15" s="1"/>
  <c r="BE70" i="15"/>
  <c r="BG70" i="15" s="1"/>
  <c r="K64" i="15"/>
  <c r="I65" i="15"/>
  <c r="K65" i="15" s="1"/>
  <c r="O64" i="15"/>
  <c r="M65" i="15"/>
  <c r="O65" i="15" s="1"/>
  <c r="Q64" i="15"/>
  <c r="AO71" i="15"/>
  <c r="AQ71" i="15" s="1"/>
  <c r="AO70" i="15"/>
  <c r="AQ70" i="15" s="1"/>
  <c r="W64" i="15"/>
  <c r="U65" i="15"/>
  <c r="W65" i="15" s="1"/>
  <c r="AW71" i="15"/>
  <c r="AY71" i="15" s="1"/>
  <c r="AW70" i="15"/>
  <c r="AY70" i="15" s="1"/>
  <c r="AK71" i="15"/>
  <c r="AM71" i="15" s="1"/>
  <c r="AK70" i="15"/>
  <c r="AM70" i="15" s="1"/>
  <c r="AE64" i="15"/>
  <c r="AC65" i="15"/>
  <c r="AE65" i="15" s="1"/>
  <c r="BA71" i="15"/>
  <c r="BC71" i="15" s="1"/>
  <c r="BA70" i="15"/>
  <c r="BC70" i="15" s="1"/>
  <c r="AK73" i="15" l="1"/>
  <c r="AM73" i="15" s="1"/>
  <c r="AK72" i="15"/>
  <c r="AM72" i="15" s="1"/>
  <c r="S64" i="15"/>
  <c r="Q65" i="15"/>
  <c r="S65" i="15" s="1"/>
  <c r="AG73" i="15"/>
  <c r="AI73" i="15" s="1"/>
  <c r="AG72" i="15"/>
  <c r="AI72" i="15" s="1"/>
  <c r="E66" i="15"/>
  <c r="M66" i="15"/>
  <c r="BA73" i="15"/>
  <c r="BC73" i="15" s="1"/>
  <c r="BA72" i="15"/>
  <c r="BC72" i="15" s="1"/>
  <c r="U66" i="15"/>
  <c r="AO73" i="15"/>
  <c r="AQ73" i="15" s="1"/>
  <c r="AO72" i="15"/>
  <c r="AQ72" i="15" s="1"/>
  <c r="Y66" i="15"/>
  <c r="AC66" i="15"/>
  <c r="AW73" i="15"/>
  <c r="AY73" i="15" s="1"/>
  <c r="AW72" i="15"/>
  <c r="AY72" i="15" s="1"/>
  <c r="I66" i="15"/>
  <c r="BE73" i="15"/>
  <c r="BG73" i="15" s="1"/>
  <c r="BE72" i="15"/>
  <c r="BG72" i="15" s="1"/>
  <c r="AS73" i="15"/>
  <c r="AU73" i="15" s="1"/>
  <c r="AS72" i="15"/>
  <c r="AU72" i="15" s="1"/>
  <c r="AC67" i="15" l="1"/>
  <c r="AE67" i="15" s="1"/>
  <c r="AE66" i="15"/>
  <c r="BE75" i="15"/>
  <c r="BG75" i="15" s="1"/>
  <c r="BE74" i="15"/>
  <c r="BG74" i="15" s="1"/>
  <c r="AO75" i="15"/>
  <c r="AQ75" i="15" s="1"/>
  <c r="AO74" i="15"/>
  <c r="AQ74" i="15" s="1"/>
  <c r="M67" i="15"/>
  <c r="O67" i="15" s="1"/>
  <c r="O66" i="15"/>
  <c r="Q66" i="15"/>
  <c r="AW75" i="15"/>
  <c r="AY75" i="15" s="1"/>
  <c r="AW74" i="15"/>
  <c r="AY74" i="15" s="1"/>
  <c r="BA75" i="15"/>
  <c r="BC75" i="15" s="1"/>
  <c r="BA74" i="15"/>
  <c r="BC74" i="15" s="1"/>
  <c r="AG75" i="15"/>
  <c r="AI75" i="15" s="1"/>
  <c r="AG74" i="15"/>
  <c r="AI74" i="15" s="1"/>
  <c r="AS75" i="15"/>
  <c r="AU75" i="15" s="1"/>
  <c r="AS74" i="15"/>
  <c r="AU74" i="15" s="1"/>
  <c r="Y67" i="15"/>
  <c r="AA67" i="15" s="1"/>
  <c r="AA66" i="15"/>
  <c r="K66" i="15"/>
  <c r="I67" i="15"/>
  <c r="K67" i="15" s="1"/>
  <c r="U67" i="15"/>
  <c r="W67" i="15" s="1"/>
  <c r="W66" i="15"/>
  <c r="E67" i="15"/>
  <c r="G67" i="15" s="1"/>
  <c r="G66" i="15"/>
  <c r="AK75" i="15"/>
  <c r="AM75" i="15" s="1"/>
  <c r="AK74" i="15"/>
  <c r="AM74" i="15" s="1"/>
  <c r="E68" i="15" l="1"/>
  <c r="S66" i="15"/>
  <c r="Q67" i="15"/>
  <c r="S67" i="15" s="1"/>
  <c r="U68" i="15"/>
  <c r="Y68" i="15"/>
  <c r="I68" i="15"/>
  <c r="M68" i="15"/>
  <c r="AC68" i="15"/>
  <c r="W68" i="15" l="1"/>
  <c r="U69" i="15"/>
  <c r="W69" i="15" s="1"/>
  <c r="G68" i="15"/>
  <c r="E69" i="15"/>
  <c r="G69" i="15" s="1"/>
  <c r="K68" i="15"/>
  <c r="I69" i="15"/>
  <c r="K69" i="15" s="1"/>
  <c r="AE68" i="15"/>
  <c r="AC69" i="15"/>
  <c r="AE69" i="15" s="1"/>
  <c r="O68" i="15"/>
  <c r="M69" i="15"/>
  <c r="O69" i="15" s="1"/>
  <c r="Q68" i="15"/>
  <c r="AA68" i="15"/>
  <c r="Y69" i="15"/>
  <c r="AA69" i="15" s="1"/>
  <c r="AC70" i="15" l="1"/>
  <c r="E70" i="15"/>
  <c r="S68" i="15"/>
  <c r="Q69" i="15"/>
  <c r="S69" i="15" s="1"/>
  <c r="Y70" i="15"/>
  <c r="M70" i="15"/>
  <c r="I70" i="15"/>
  <c r="U70" i="15"/>
  <c r="AC71" i="15" l="1"/>
  <c r="AE71" i="15" s="1"/>
  <c r="AE70" i="15"/>
  <c r="Y71" i="15"/>
  <c r="AA71" i="15" s="1"/>
  <c r="AA70" i="15"/>
  <c r="W70" i="15"/>
  <c r="U71" i="15"/>
  <c r="W71" i="15" s="1"/>
  <c r="O70" i="15"/>
  <c r="M71" i="15"/>
  <c r="O71" i="15" s="1"/>
  <c r="I71" i="15"/>
  <c r="K71" i="15" s="1"/>
  <c r="K70" i="15"/>
  <c r="Q70" i="15"/>
  <c r="G70" i="15"/>
  <c r="E71" i="15"/>
  <c r="G71" i="15" s="1"/>
  <c r="I72" i="15" l="1"/>
  <c r="U72" i="15"/>
  <c r="AC72" i="15"/>
  <c r="Q71" i="15"/>
  <c r="S71" i="15" s="1"/>
  <c r="S70" i="15"/>
  <c r="M72" i="15"/>
  <c r="E72" i="15"/>
  <c r="Y72" i="15"/>
  <c r="O72" i="15" l="1"/>
  <c r="M73" i="15"/>
  <c r="O73" i="15" s="1"/>
  <c r="W72" i="15"/>
  <c r="U73" i="15"/>
  <c r="W73" i="15" s="1"/>
  <c r="AA72" i="15"/>
  <c r="Y73" i="15"/>
  <c r="AA73" i="15" s="1"/>
  <c r="G72" i="15"/>
  <c r="E73" i="15"/>
  <c r="G73" i="15" s="1"/>
  <c r="Q72" i="15"/>
  <c r="AE72" i="15"/>
  <c r="AC73" i="15"/>
  <c r="AE73" i="15" s="1"/>
  <c r="K72" i="15"/>
  <c r="I73" i="15"/>
  <c r="K73" i="15" s="1"/>
  <c r="Y74" i="15" l="1"/>
  <c r="I74" i="15"/>
  <c r="S72" i="15"/>
  <c r="Q73" i="15"/>
  <c r="S73" i="15" s="1"/>
  <c r="E74" i="15"/>
  <c r="U74" i="15"/>
  <c r="M74" i="15"/>
  <c r="AC74" i="15"/>
  <c r="AE74" i="15" l="1"/>
  <c r="AC75" i="15"/>
  <c r="AE75" i="15" s="1"/>
  <c r="W74" i="15"/>
  <c r="U75" i="15"/>
  <c r="W75" i="15" s="1"/>
  <c r="Q74" i="15"/>
  <c r="O74" i="15"/>
  <c r="M75" i="15"/>
  <c r="O75" i="15" s="1"/>
  <c r="G74" i="15"/>
  <c r="E75" i="15"/>
  <c r="G75" i="15" s="1"/>
  <c r="K74" i="15"/>
  <c r="I75" i="15"/>
  <c r="K75" i="15" s="1"/>
  <c r="AA74" i="15"/>
  <c r="Y75" i="15"/>
  <c r="AA75" i="15" s="1"/>
  <c r="S74" i="15" l="1"/>
  <c r="Q75" i="15"/>
  <c r="S75" i="15" s="1"/>
  <c r="E41" i="5" l="1"/>
  <c r="E32" i="5"/>
  <c r="B11" i="6"/>
  <c r="B14" i="6" s="1"/>
  <c r="I63" i="8"/>
  <c r="I61" i="8"/>
  <c r="I49" i="8"/>
  <c r="I39" i="8"/>
  <c r="I28" i="8" s="1"/>
  <c r="I35" i="8"/>
  <c r="I34" i="8"/>
  <c r="I29" i="8"/>
  <c r="I27" i="8"/>
  <c r="I24" i="8"/>
  <c r="H307" i="1"/>
  <c r="H299" i="1"/>
  <c r="H258" i="1"/>
  <c r="H233" i="1"/>
  <c r="I36" i="8"/>
  <c r="H216" i="1"/>
  <c r="H174" i="1"/>
  <c r="H170" i="1"/>
  <c r="H146" i="1"/>
  <c r="H145" i="1"/>
  <c r="H134" i="1"/>
  <c r="H133" i="1"/>
  <c r="H244" i="1"/>
  <c r="I33" i="8"/>
  <c r="H226" i="1"/>
  <c r="J23" i="17"/>
  <c r="I23" i="17"/>
  <c r="H23" i="17"/>
  <c r="G23" i="17"/>
  <c r="F23" i="17"/>
  <c r="G38" i="9" s="1"/>
  <c r="C23" i="17"/>
  <c r="G35" i="9" s="1"/>
  <c r="I22" i="17"/>
  <c r="C22" i="17"/>
  <c r="C21" i="17"/>
  <c r="C20" i="17"/>
  <c r="G19" i="17"/>
  <c r="C19" i="17"/>
  <c r="C18" i="17"/>
  <c r="C17" i="17"/>
  <c r="C16" i="17"/>
  <c r="G15" i="17"/>
  <c r="C15" i="17"/>
  <c r="C14" i="17"/>
  <c r="I13" i="17"/>
  <c r="C13" i="17"/>
  <c r="C12" i="17"/>
  <c r="J11" i="17"/>
  <c r="I11" i="17"/>
  <c r="H11" i="17"/>
  <c r="G11" i="17"/>
  <c r="F11" i="17"/>
  <c r="E11" i="17"/>
  <c r="D11" i="17"/>
  <c r="C11" i="17"/>
  <c r="H110" i="1"/>
  <c r="M25" i="17"/>
  <c r="K25" i="17"/>
  <c r="H62" i="18"/>
  <c r="J22" i="17" s="1"/>
  <c r="G62" i="18"/>
  <c r="H22" i="17" s="1"/>
  <c r="G22" i="17"/>
  <c r="H61" i="18"/>
  <c r="J21" i="17" s="1"/>
  <c r="G61" i="18"/>
  <c r="H21" i="17" s="1"/>
  <c r="I21" i="17"/>
  <c r="G21" i="17"/>
  <c r="H60" i="18"/>
  <c r="J20" i="17" s="1"/>
  <c r="G60" i="18"/>
  <c r="H20" i="17" s="1"/>
  <c r="I20" i="17"/>
  <c r="G20" i="17"/>
  <c r="H59" i="18"/>
  <c r="J19" i="17" s="1"/>
  <c r="G59" i="18"/>
  <c r="H19" i="17" s="1"/>
  <c r="I19" i="17"/>
  <c r="H58" i="18"/>
  <c r="J18" i="17" s="1"/>
  <c r="G58" i="18"/>
  <c r="H18" i="17" s="1"/>
  <c r="I18" i="17"/>
  <c r="G18" i="17"/>
  <c r="H57" i="18"/>
  <c r="J17" i="17" s="1"/>
  <c r="G57" i="18"/>
  <c r="H17" i="17" s="1"/>
  <c r="I17" i="17"/>
  <c r="G17" i="17"/>
  <c r="H56" i="18"/>
  <c r="J16" i="17" s="1"/>
  <c r="G56" i="18"/>
  <c r="H16" i="17" s="1"/>
  <c r="I16" i="17"/>
  <c r="G16" i="17"/>
  <c r="H55" i="18"/>
  <c r="J15" i="17" s="1"/>
  <c r="G55" i="18"/>
  <c r="H15" i="17" s="1"/>
  <c r="I15" i="17"/>
  <c r="H54" i="18"/>
  <c r="J14" i="17" s="1"/>
  <c r="G54" i="18"/>
  <c r="H14" i="17" s="1"/>
  <c r="I14" i="17"/>
  <c r="G14" i="17"/>
  <c r="H53" i="18"/>
  <c r="J13" i="17" s="1"/>
  <c r="G53" i="18"/>
  <c r="H13" i="17" s="1"/>
  <c r="G13" i="17"/>
  <c r="H52" i="18"/>
  <c r="J12" i="17" s="1"/>
  <c r="G52" i="18"/>
  <c r="H12" i="17" s="1"/>
  <c r="I12" i="17"/>
  <c r="G12" i="17"/>
  <c r="L24" i="18"/>
  <c r="N23" i="18"/>
  <c r="E23" i="17" s="1"/>
  <c r="M23" i="17" s="1"/>
  <c r="N22" i="18"/>
  <c r="E22" i="17" s="1"/>
  <c r="N21" i="18"/>
  <c r="E21" i="17" s="1"/>
  <c r="N20" i="18"/>
  <c r="E20" i="17" s="1"/>
  <c r="N19" i="18"/>
  <c r="E19" i="17" s="1"/>
  <c r="N18" i="18"/>
  <c r="E18" i="17" s="1"/>
  <c r="N17" i="18"/>
  <c r="E17" i="17" s="1"/>
  <c r="N16" i="18"/>
  <c r="E16" i="17" s="1"/>
  <c r="N15" i="18"/>
  <c r="E15" i="17" s="1"/>
  <c r="N14" i="18"/>
  <c r="E14" i="17" s="1"/>
  <c r="N13" i="18"/>
  <c r="E13" i="17" s="1"/>
  <c r="E12" i="17"/>
  <c r="C103" i="19"/>
  <c r="H28" i="1" s="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F70" i="19" s="1"/>
  <c r="E57" i="19"/>
  <c r="G16" i="19"/>
  <c r="C10" i="19"/>
  <c r="G9" i="19"/>
  <c r="G7" i="19"/>
  <c r="H148" i="1" s="1"/>
  <c r="G7" i="9" l="1"/>
  <c r="H7" i="9" s="1"/>
  <c r="H24" i="17"/>
  <c r="D47" i="17"/>
  <c r="H68" i="1" s="1"/>
  <c r="E24" i="17"/>
  <c r="I24" i="17"/>
  <c r="H34" i="1" s="1"/>
  <c r="J24" i="17"/>
  <c r="J26" i="17" s="1"/>
  <c r="G24" i="17"/>
  <c r="H135" i="1"/>
  <c r="H236" i="1"/>
  <c r="I21" i="8"/>
  <c r="I62" i="8"/>
  <c r="E70" i="19"/>
  <c r="M14" i="17"/>
  <c r="M18" i="17"/>
  <c r="M22" i="17"/>
  <c r="H84" i="1"/>
  <c r="B16" i="6"/>
  <c r="H121" i="1"/>
  <c r="C24" i="17"/>
  <c r="H54" i="1" s="1"/>
  <c r="M17" i="17"/>
  <c r="M19" i="17"/>
  <c r="D74" i="19"/>
  <c r="M15" i="17"/>
  <c r="M20" i="17"/>
  <c r="M12" i="17"/>
  <c r="H26" i="17"/>
  <c r="N24" i="18"/>
  <c r="G64" i="18"/>
  <c r="H124" i="1"/>
  <c r="H64" i="18"/>
  <c r="D52" i="18"/>
  <c r="K23" i="17"/>
  <c r="B15" i="6"/>
  <c r="M13" i="17"/>
  <c r="M16" i="17"/>
  <c r="M11" i="17"/>
  <c r="M21" i="17"/>
  <c r="H260" i="1"/>
  <c r="C52" i="18"/>
  <c r="D53" i="18"/>
  <c r="H171" i="1"/>
  <c r="H217" i="1"/>
  <c r="I30" i="8"/>
  <c r="I40" i="8" s="1"/>
  <c r="I20" i="8"/>
  <c r="F32" i="5"/>
  <c r="G32" i="5" s="1"/>
  <c r="B29" i="6"/>
  <c r="H151" i="1"/>
  <c r="H199" i="1"/>
  <c r="I48" i="8"/>
  <c r="H234" i="1"/>
  <c r="I37" i="8"/>
  <c r="I38" i="8" s="1"/>
  <c r="K11" i="17"/>
  <c r="L11" i="17"/>
  <c r="D12" i="17"/>
  <c r="L12" i="17" s="1"/>
  <c r="D35" i="7"/>
  <c r="D36" i="7" s="1"/>
  <c r="D38" i="7" s="1"/>
  <c r="D39" i="7" s="1"/>
  <c r="H194" i="1"/>
  <c r="D8" i="19"/>
  <c r="G8" i="19" s="1"/>
  <c r="H165" i="1"/>
  <c r="H122" i="1"/>
  <c r="H65" i="1"/>
  <c r="D14" i="19"/>
  <c r="D15" i="19"/>
  <c r="H200" i="1"/>
  <c r="G38" i="19"/>
  <c r="D24" i="7" l="1"/>
  <c r="G24" i="7" s="1"/>
  <c r="H262" i="1"/>
  <c r="J305" i="9"/>
  <c r="L305" i="9" s="1"/>
  <c r="F12" i="17"/>
  <c r="M24" i="17"/>
  <c r="M26" i="17" s="1"/>
  <c r="I22" i="8"/>
  <c r="I47" i="8" s="1"/>
  <c r="H261" i="1"/>
  <c r="H36" i="1"/>
  <c r="H38" i="1"/>
  <c r="B17" i="6"/>
  <c r="C26" i="17"/>
  <c r="E66" i="12" s="1"/>
  <c r="E93" i="12" s="1"/>
  <c r="G74" i="19"/>
  <c r="H123" i="1"/>
  <c r="D75" i="19"/>
  <c r="I64" i="8"/>
  <c r="I66" i="8" s="1"/>
  <c r="E26" i="17"/>
  <c r="H62" i="1"/>
  <c r="H78" i="1"/>
  <c r="H201" i="1"/>
  <c r="H243" i="1"/>
  <c r="C53" i="18"/>
  <c r="F13" i="17"/>
  <c r="D54" i="18"/>
  <c r="F14" i="17" s="1"/>
  <c r="K14" i="17" s="1"/>
  <c r="H237" i="1"/>
  <c r="I41" i="8"/>
  <c r="G10" i="19"/>
  <c r="H58" i="1"/>
  <c r="D13" i="17"/>
  <c r="L13" i="17" s="1"/>
  <c r="C75" i="19"/>
  <c r="G39" i="19"/>
  <c r="H266" i="1" l="1"/>
  <c r="H275" i="1"/>
  <c r="Q395" i="45"/>
  <c r="Q397" i="45" s="1"/>
  <c r="Q407" i="45" s="1"/>
  <c r="Q409" i="45" s="1"/>
  <c r="Q110" i="45"/>
  <c r="Q112" i="45" s="1"/>
  <c r="Q122" i="45" s="1"/>
  <c r="O395" i="45"/>
  <c r="O397" i="45" s="1"/>
  <c r="O407" i="45" s="1"/>
  <c r="O409" i="45" s="1"/>
  <c r="O110" i="45"/>
  <c r="O112" i="45" s="1"/>
  <c r="O122" i="45" s="1"/>
  <c r="M395" i="45"/>
  <c r="M397" i="45" s="1"/>
  <c r="M407" i="45" s="1"/>
  <c r="M409" i="45" s="1"/>
  <c r="M110" i="45"/>
  <c r="M112" i="45" s="1"/>
  <c r="M122" i="45" s="1"/>
  <c r="K395" i="45"/>
  <c r="K397" i="45" s="1"/>
  <c r="K407" i="45" s="1"/>
  <c r="K409" i="45" s="1"/>
  <c r="K110" i="45"/>
  <c r="K112" i="45" s="1"/>
  <c r="K122" i="45" s="1"/>
  <c r="L310" i="9"/>
  <c r="H270" i="1"/>
  <c r="I65" i="8"/>
  <c r="K12" i="17"/>
  <c r="I18" i="12"/>
  <c r="I79" i="8"/>
  <c r="I70" i="8"/>
  <c r="I45" i="8"/>
  <c r="I53" i="8" s="1"/>
  <c r="I43" i="8"/>
  <c r="I51" i="8" s="1"/>
  <c r="I44" i="8"/>
  <c r="I52" i="8" s="1"/>
  <c r="H241" i="1"/>
  <c r="H240" i="1"/>
  <c r="H239" i="1"/>
  <c r="H125" i="1"/>
  <c r="H81" i="1"/>
  <c r="H82" i="1"/>
  <c r="H29" i="1"/>
  <c r="G75" i="19"/>
  <c r="D76" i="19"/>
  <c r="K13" i="17"/>
  <c r="D55" i="18"/>
  <c r="C54" i="18"/>
  <c r="H298" i="1"/>
  <c r="D14" i="17"/>
  <c r="L14" i="17" s="1"/>
  <c r="G40" i="19"/>
  <c r="M124" i="45" l="1"/>
  <c r="M421" i="45"/>
  <c r="M423" i="45" s="1"/>
  <c r="Q421" i="45"/>
  <c r="Q423" i="45" s="1"/>
  <c r="Q124" i="45"/>
  <c r="K421" i="45"/>
  <c r="K423" i="45" s="1"/>
  <c r="K124" i="45"/>
  <c r="O421" i="45"/>
  <c r="O423" i="45" s="1"/>
  <c r="O124" i="45"/>
  <c r="I74" i="8"/>
  <c r="I78" i="8" s="1"/>
  <c r="I80" i="8" s="1"/>
  <c r="H274" i="1"/>
  <c r="H248" i="1"/>
  <c r="H300" i="1"/>
  <c r="H247" i="1"/>
  <c r="H249" i="1"/>
  <c r="C76" i="19"/>
  <c r="I54" i="8"/>
  <c r="F15" i="17"/>
  <c r="D56" i="18"/>
  <c r="F16" i="17" s="1"/>
  <c r="K16" i="17" s="1"/>
  <c r="C55" i="18"/>
  <c r="D15" i="17"/>
  <c r="L15" i="17" s="1"/>
  <c r="G41" i="19"/>
  <c r="H276" i="1" l="1"/>
  <c r="H250" i="1"/>
  <c r="H301" i="1"/>
  <c r="G76" i="19"/>
  <c r="G77" i="19"/>
  <c r="D78" i="19"/>
  <c r="C56" i="18"/>
  <c r="D57" i="18"/>
  <c r="F17" i="17" s="1"/>
  <c r="K17" i="17" s="1"/>
  <c r="K15" i="17"/>
  <c r="D16" i="17"/>
  <c r="L16" i="17" s="1"/>
  <c r="G42" i="19"/>
  <c r="D79" i="19" l="1"/>
  <c r="G78" i="19"/>
  <c r="D58" i="18"/>
  <c r="C57" i="18"/>
  <c r="D17" i="17"/>
  <c r="L17" i="17" s="1"/>
  <c r="G43" i="19"/>
  <c r="C79" i="19" l="1"/>
  <c r="G79" i="19" s="1"/>
  <c r="D80" i="19"/>
  <c r="F18" i="17"/>
  <c r="C58" i="18"/>
  <c r="D59" i="18"/>
  <c r="F19" i="17" s="1"/>
  <c r="K19" i="17" s="1"/>
  <c r="D18" i="17"/>
  <c r="L18" i="17" s="1"/>
  <c r="G44" i="19"/>
  <c r="C80" i="19" l="1"/>
  <c r="G80" i="19" s="1"/>
  <c r="D81" i="19"/>
  <c r="C59" i="18"/>
  <c r="D60" i="18"/>
  <c r="F20" i="17" s="1"/>
  <c r="K20" i="17" s="1"/>
  <c r="K18" i="17"/>
  <c r="D19" i="17"/>
  <c r="L19" i="17" s="1"/>
  <c r="G45" i="19"/>
  <c r="C81" i="19" l="1"/>
  <c r="G81" i="19" s="1"/>
  <c r="D82" i="19"/>
  <c r="D61" i="18"/>
  <c r="F21" i="17" s="1"/>
  <c r="K21" i="17" s="1"/>
  <c r="C60" i="18"/>
  <c r="D20" i="17"/>
  <c r="L20" i="17" s="1"/>
  <c r="G46" i="19"/>
  <c r="C82" i="19" l="1"/>
  <c r="G82" i="19" s="1"/>
  <c r="D83" i="19"/>
  <c r="C62" i="18"/>
  <c r="C61" i="18"/>
  <c r="D62" i="18"/>
  <c r="D64" i="18" s="1"/>
  <c r="K24" i="18"/>
  <c r="H27" i="1" s="1"/>
  <c r="D21" i="17"/>
  <c r="L21" i="17" s="1"/>
  <c r="G47" i="19"/>
  <c r="C64" i="18" l="1"/>
  <c r="H30" i="1"/>
  <c r="D84" i="19"/>
  <c r="C83" i="19"/>
  <c r="G83" i="19" s="1"/>
  <c r="F22" i="17"/>
  <c r="F24" i="17" s="1"/>
  <c r="D22" i="17"/>
  <c r="L22" i="17" s="1"/>
  <c r="G48" i="19"/>
  <c r="C84" i="19" l="1"/>
  <c r="G84" i="19" s="1"/>
  <c r="D85" i="19"/>
  <c r="D86" i="19" s="1"/>
  <c r="C15" i="19" s="1"/>
  <c r="D51" i="19"/>
  <c r="I25" i="17" s="1"/>
  <c r="H32" i="1"/>
  <c r="K22" i="17"/>
  <c r="K24" i="17" s="1"/>
  <c r="M24" i="18"/>
  <c r="D23" i="17"/>
  <c r="D24" i="17" s="1"/>
  <c r="G49" i="19"/>
  <c r="H264" i="9" l="1"/>
  <c r="I264" i="9" s="1"/>
  <c r="H192" i="1"/>
  <c r="G15" i="19"/>
  <c r="C85" i="19"/>
  <c r="H35" i="1"/>
  <c r="I26" i="17"/>
  <c r="F26" i="17"/>
  <c r="H74" i="1"/>
  <c r="K26" i="17"/>
  <c r="H66" i="12" s="1"/>
  <c r="L23" i="17"/>
  <c r="L24" i="17" s="1"/>
  <c r="G50" i="19"/>
  <c r="G51" i="19" s="1"/>
  <c r="C51" i="19"/>
  <c r="H93" i="12" l="1"/>
  <c r="I19" i="12"/>
  <c r="H76" i="1"/>
  <c r="H80" i="1"/>
  <c r="H313" i="1"/>
  <c r="H33" i="1"/>
  <c r="G25" i="17"/>
  <c r="G85" i="19"/>
  <c r="C86" i="19"/>
  <c r="C14" i="19" s="1"/>
  <c r="H60" i="1"/>
  <c r="H40" i="1" l="1"/>
  <c r="H323" i="1"/>
  <c r="G86" i="19"/>
  <c r="H79" i="1"/>
  <c r="G26" i="17"/>
  <c r="H83" i="1" l="1"/>
  <c r="H42" i="1"/>
  <c r="H263" i="9"/>
  <c r="I263" i="9" s="1"/>
  <c r="H190" i="1"/>
  <c r="C17" i="19"/>
  <c r="G14" i="19"/>
  <c r="G17" i="19" s="1"/>
  <c r="D64" i="19" l="1"/>
  <c r="D62" i="19"/>
  <c r="D57" i="19"/>
  <c r="D58" i="19"/>
  <c r="D69" i="19"/>
  <c r="D61" i="19"/>
  <c r="D67" i="19"/>
  <c r="D65" i="19"/>
  <c r="C57" i="19"/>
  <c r="C65" i="19"/>
  <c r="C63" i="19"/>
  <c r="C69" i="19"/>
  <c r="C58" i="19"/>
  <c r="C67" i="19"/>
  <c r="D59" i="19"/>
  <c r="D60" i="19"/>
  <c r="D68" i="19"/>
  <c r="C64" i="19"/>
  <c r="C68" i="19"/>
  <c r="H85" i="1"/>
  <c r="H193" i="1"/>
  <c r="D63" i="19"/>
  <c r="D66" i="19"/>
  <c r="H195" i="1" l="1"/>
  <c r="H87" i="1"/>
  <c r="G21" i="19"/>
  <c r="G22" i="19"/>
  <c r="G67" i="19"/>
  <c r="G65" i="19"/>
  <c r="G28" i="19"/>
  <c r="G63" i="19"/>
  <c r="G24" i="19"/>
  <c r="C60" i="19"/>
  <c r="G60" i="19" s="1"/>
  <c r="G30" i="19"/>
  <c r="C66" i="19"/>
  <c r="G66" i="19" s="1"/>
  <c r="G32" i="19"/>
  <c r="G27" i="19"/>
  <c r="G29" i="19"/>
  <c r="G25" i="19"/>
  <c r="C61" i="19"/>
  <c r="G61" i="19" s="1"/>
  <c r="G31" i="19"/>
  <c r="G69" i="19"/>
  <c r="G26" i="19"/>
  <c r="C62" i="19"/>
  <c r="G62" i="19" s="1"/>
  <c r="G23" i="19"/>
  <c r="C59" i="19"/>
  <c r="G59" i="19" s="1"/>
  <c r="D70" i="19"/>
  <c r="G68" i="19"/>
  <c r="G64" i="19"/>
  <c r="G58" i="19"/>
  <c r="G57" i="19"/>
  <c r="G33" i="19"/>
  <c r="H204" i="1" l="1"/>
  <c r="I26" i="12"/>
  <c r="I27" i="12" s="1"/>
  <c r="L27" i="12" s="1"/>
  <c r="D25" i="17"/>
  <c r="H61" i="1" s="1"/>
  <c r="C70" i="19"/>
  <c r="H290" i="1" l="1"/>
  <c r="H64" i="1"/>
  <c r="L25" i="17"/>
  <c r="L26" i="17" s="1"/>
  <c r="D26" i="17"/>
  <c r="H66" i="1" l="1"/>
  <c r="H70" i="1" l="1"/>
  <c r="E75" i="13"/>
  <c r="E77" i="13" s="1"/>
  <c r="F12" i="13" s="1"/>
  <c r="B64" i="13"/>
  <c r="H44" i="1" l="1"/>
  <c r="H89" i="1"/>
  <c r="F41" i="14"/>
  <c r="F42" i="14" s="1"/>
  <c r="F43" i="14" s="1"/>
  <c r="F44" i="14" s="1"/>
  <c r="F45" i="14" s="1"/>
  <c r="F46" i="14" s="1"/>
  <c r="F47" i="14" s="1"/>
  <c r="F48" i="14" s="1"/>
  <c r="F49" i="14" s="1"/>
  <c r="F50" i="14" s="1"/>
  <c r="F51" i="14" s="1"/>
  <c r="F52" i="14" s="1"/>
  <c r="F53" i="14" s="1"/>
  <c r="F54" i="14" s="1"/>
  <c r="F55" i="14" s="1"/>
  <c r="F56" i="14" s="1"/>
  <c r="F57" i="14" s="1"/>
  <c r="F58" i="14" s="1"/>
  <c r="F59" i="14" s="1"/>
  <c r="G59" i="14" s="1"/>
  <c r="J36" i="13" s="1"/>
  <c r="K36" i="13" s="1"/>
  <c r="H47" i="1" l="1"/>
  <c r="H285" i="1"/>
  <c r="H45" i="1"/>
  <c r="W137" i="9" l="1"/>
  <c r="X137" i="9" s="1"/>
  <c r="AC137" i="9" s="1"/>
  <c r="H315" i="42"/>
  <c r="H318" i="42" s="1"/>
  <c r="E318" i="42" s="1"/>
  <c r="H265" i="1" s="1"/>
  <c r="H251" i="42"/>
  <c r="H254" i="42" s="1"/>
  <c r="E254" i="42" s="1"/>
  <c r="H178" i="42"/>
  <c r="H107" i="42"/>
  <c r="H110" i="42" s="1"/>
  <c r="E110" i="42" s="1"/>
  <c r="H151" i="42"/>
  <c r="H154" i="42" s="1"/>
  <c r="H80" i="42"/>
  <c r="H83" i="42" s="1"/>
  <c r="H224" i="42"/>
  <c r="H227" i="42" s="1"/>
  <c r="H295" i="42"/>
  <c r="H298" i="42" s="1"/>
  <c r="H151" i="9"/>
  <c r="G157" i="9" s="1"/>
  <c r="G21" i="7" s="1"/>
  <c r="G23" i="7" s="1"/>
  <c r="W136" i="9"/>
  <c r="X136" i="9" s="1"/>
  <c r="AC136" i="9" s="1"/>
  <c r="W124" i="9"/>
  <c r="W128" i="9"/>
  <c r="X128" i="9" s="1"/>
  <c r="AC128" i="9" s="1"/>
  <c r="W132" i="9"/>
  <c r="X132" i="9" s="1"/>
  <c r="AC132" i="9" s="1"/>
  <c r="W120" i="9"/>
  <c r="X120" i="9" s="1"/>
  <c r="W121" i="9"/>
  <c r="X121" i="9" s="1"/>
  <c r="AC121" i="9" s="1"/>
  <c r="W125" i="9"/>
  <c r="W129" i="9"/>
  <c r="X129" i="9" s="1"/>
  <c r="AC129" i="9" s="1"/>
  <c r="W122" i="9"/>
  <c r="X122" i="9" s="1"/>
  <c r="AC122" i="9" s="1"/>
  <c r="W126" i="9"/>
  <c r="X126" i="9" s="1"/>
  <c r="AC126" i="9" s="1"/>
  <c r="W130" i="9"/>
  <c r="X130" i="9" s="1"/>
  <c r="AC130" i="9" s="1"/>
  <c r="W134" i="9"/>
  <c r="X134" i="9" s="1"/>
  <c r="AC134" i="9" s="1"/>
  <c r="W123" i="9"/>
  <c r="X123" i="9" s="1"/>
  <c r="AC123" i="9" s="1"/>
  <c r="W127" i="9"/>
  <c r="X127" i="9" s="1"/>
  <c r="AC127" i="9" s="1"/>
  <c r="W131" i="9"/>
  <c r="X131" i="9" s="1"/>
  <c r="AC131" i="9" s="1"/>
  <c r="W135" i="9"/>
  <c r="X135" i="9" s="1"/>
  <c r="AC135" i="9" s="1"/>
  <c r="W133" i="9"/>
  <c r="X133" i="9" s="1"/>
  <c r="AC133" i="9" s="1"/>
  <c r="H48" i="1"/>
  <c r="F41" i="5"/>
  <c r="G41" i="5" s="1"/>
  <c r="F20" i="5"/>
  <c r="E66" i="13" l="1"/>
  <c r="H26" i="33"/>
  <c r="H11" i="42"/>
  <c r="E11" i="42" s="1"/>
  <c r="E83" i="42"/>
  <c r="H15" i="42"/>
  <c r="E15" i="42" s="1"/>
  <c r="E298" i="42"/>
  <c r="H14" i="42"/>
  <c r="E14" i="42" s="1"/>
  <c r="R131" i="41" s="1"/>
  <c r="E227" i="42"/>
  <c r="I182" i="42"/>
  <c r="H181" i="42"/>
  <c r="H13" i="42"/>
  <c r="E154" i="42"/>
  <c r="I69" i="8"/>
  <c r="I71" i="8" s="1"/>
  <c r="H267" i="1"/>
  <c r="G25" i="7"/>
  <c r="H306" i="1" s="1"/>
  <c r="AC120" i="9"/>
  <c r="AC140" i="9" s="1"/>
  <c r="X140" i="9"/>
  <c r="G20" i="5"/>
  <c r="F19" i="5"/>
  <c r="H176" i="1"/>
  <c r="R32" i="41" l="1"/>
  <c r="R34" i="41" s="1"/>
  <c r="R36" i="41" s="1"/>
  <c r="R38" i="41" s="1"/>
  <c r="I33" i="12"/>
  <c r="I34" i="12" s="1"/>
  <c r="L34" i="12" s="1"/>
  <c r="E181" i="42"/>
  <c r="L133" i="41"/>
  <c r="L135" i="41" s="1"/>
  <c r="L137" i="41" s="1"/>
  <c r="R133" i="41"/>
  <c r="R135" i="41" s="1"/>
  <c r="R137" i="41" s="1"/>
  <c r="H113" i="1"/>
  <c r="H17" i="42"/>
  <c r="E13" i="42"/>
  <c r="R98" i="41" s="1"/>
  <c r="L34" i="41"/>
  <c r="L36" i="41" s="1"/>
  <c r="L38" i="41" s="1"/>
  <c r="F18" i="5"/>
  <c r="G19" i="5"/>
  <c r="H94" i="1" l="1"/>
  <c r="Q82" i="41"/>
  <c r="K82" i="41"/>
  <c r="P82" i="41" s="1"/>
  <c r="Q90" i="41"/>
  <c r="K90" i="41"/>
  <c r="P90" i="41" s="1"/>
  <c r="Q83" i="41"/>
  <c r="K83" i="41"/>
  <c r="P83" i="41" s="1"/>
  <c r="Q87" i="41"/>
  <c r="K87" i="41"/>
  <c r="P87" i="41" s="1"/>
  <c r="Q91" i="41"/>
  <c r="K91" i="41"/>
  <c r="P91" i="41" s="1"/>
  <c r="Q89" i="41"/>
  <c r="K89" i="41"/>
  <c r="P89" i="41" s="1"/>
  <c r="Q86" i="41"/>
  <c r="K86" i="41"/>
  <c r="P86" i="41" s="1"/>
  <c r="Q80" i="41"/>
  <c r="K80" i="41"/>
  <c r="P80" i="41" s="1"/>
  <c r="J92" i="41"/>
  <c r="Q84" i="41"/>
  <c r="K84" i="41"/>
  <c r="P84" i="41" s="1"/>
  <c r="Q88" i="41"/>
  <c r="K88" i="41"/>
  <c r="P88" i="41" s="1"/>
  <c r="Q85" i="41"/>
  <c r="K85" i="41"/>
  <c r="Q81" i="41"/>
  <c r="K81" i="41"/>
  <c r="P81" i="41" s="1"/>
  <c r="H97" i="1"/>
  <c r="L100" i="41"/>
  <c r="L102" i="41" s="1"/>
  <c r="R100" i="41"/>
  <c r="R102" i="41" s="1"/>
  <c r="E17" i="42"/>
  <c r="G18" i="5"/>
  <c r="F17" i="5"/>
  <c r="L80" i="41" l="1"/>
  <c r="L81" i="41" s="1"/>
  <c r="L82" i="41" s="1"/>
  <c r="L83" i="41" s="1"/>
  <c r="L84" i="41" s="1"/>
  <c r="L85" i="41" s="1"/>
  <c r="L86" i="41" s="1"/>
  <c r="L87" i="41" s="1"/>
  <c r="L88" i="41" s="1"/>
  <c r="L89" i="41" s="1"/>
  <c r="L90" i="41" s="1"/>
  <c r="L91" i="41" s="1"/>
  <c r="L103" i="41" s="1"/>
  <c r="L104" i="41" s="1"/>
  <c r="K92" i="41"/>
  <c r="P85" i="41"/>
  <c r="P92" i="41" s="1"/>
  <c r="R80" i="41"/>
  <c r="R81" i="41" s="1"/>
  <c r="R82" i="41" s="1"/>
  <c r="R83" i="41" s="1"/>
  <c r="R84" i="41" s="1"/>
  <c r="R85" i="41" s="1"/>
  <c r="R86" i="41" s="1"/>
  <c r="R87" i="41" s="1"/>
  <c r="R88" i="41" s="1"/>
  <c r="R89" i="41" s="1"/>
  <c r="R90" i="41" s="1"/>
  <c r="R91" i="41" s="1"/>
  <c r="R103" i="41" s="1"/>
  <c r="R104" i="41" s="1"/>
  <c r="Q92" i="41"/>
  <c r="F16" i="5"/>
  <c r="G16" i="5" s="1"/>
  <c r="G17" i="5"/>
  <c r="H96" i="1" l="1"/>
  <c r="C47" i="17"/>
  <c r="H108" i="1" s="1"/>
  <c r="H99" i="1" l="1"/>
  <c r="H161" i="1"/>
  <c r="H106" i="1" l="1"/>
  <c r="B24" i="6"/>
  <c r="B28" i="6" s="1"/>
  <c r="B30" i="6" s="1"/>
  <c r="B35" i="6" s="1"/>
  <c r="B23" i="6"/>
  <c r="B22" i="6"/>
  <c r="B34" i="6" l="1"/>
  <c r="B36" i="6" s="1"/>
  <c r="B25" i="6"/>
  <c r="G15" i="5" l="1"/>
  <c r="T98" i="9"/>
  <c r="G112" i="9" l="1"/>
  <c r="G34" i="17" s="1"/>
  <c r="G14" i="5"/>
  <c r="G21" i="5" s="1"/>
  <c r="E21" i="5"/>
  <c r="O112" i="9"/>
  <c r="G42" i="17" s="1"/>
  <c r="M112" i="9"/>
  <c r="G40" i="17" s="1"/>
  <c r="P112" i="9"/>
  <c r="G43" i="17" s="1"/>
  <c r="K112" i="9"/>
  <c r="G38" i="17" s="1"/>
  <c r="S112" i="9"/>
  <c r="G46" i="17" s="1"/>
  <c r="I112" i="9"/>
  <c r="G36" i="17" s="1"/>
  <c r="H112" i="9"/>
  <c r="G35" i="17" s="1"/>
  <c r="Q112" i="9"/>
  <c r="G44" i="17" s="1"/>
  <c r="N112" i="9"/>
  <c r="G41" i="17" s="1"/>
  <c r="J112" i="9"/>
  <c r="G37" i="17" s="1"/>
  <c r="R112" i="9"/>
  <c r="G45" i="17" s="1"/>
  <c r="L112" i="9"/>
  <c r="G39" i="17" s="1"/>
  <c r="E67" i="5" l="1"/>
  <c r="E71" i="5" s="1"/>
  <c r="G47" i="17"/>
  <c r="H116" i="1" s="1"/>
  <c r="G43" i="5"/>
  <c r="H208" i="1" s="1"/>
  <c r="H210" i="1" l="1"/>
  <c r="I30" i="12"/>
  <c r="I31" i="12" s="1"/>
  <c r="L31" i="12" s="1"/>
  <c r="H291" i="1"/>
  <c r="H117" i="1"/>
  <c r="BU60" i="15" l="1"/>
  <c r="BW60" i="15" s="1"/>
  <c r="BU61" i="15" l="1"/>
  <c r="BV61" i="15" s="1"/>
  <c r="BX61" i="15" s="1"/>
  <c r="E81" i="13" l="1"/>
  <c r="E10" i="33" l="1"/>
  <c r="E11" i="33"/>
  <c r="E13" i="33"/>
  <c r="G24" i="33"/>
  <c r="G27" i="33" s="1"/>
  <c r="E23" i="13" l="1"/>
  <c r="E18" i="13"/>
  <c r="E29" i="13"/>
  <c r="E35" i="13"/>
  <c r="E32" i="13"/>
  <c r="E30" i="13"/>
  <c r="E27" i="13"/>
  <c r="E26" i="13"/>
  <c r="E33" i="13"/>
  <c r="E20" i="13"/>
  <c r="E19" i="13"/>
  <c r="E34" i="13"/>
  <c r="E25" i="13"/>
  <c r="E22" i="13"/>
  <c r="E21" i="13"/>
  <c r="E31" i="13"/>
  <c r="E24" i="13"/>
  <c r="E28" i="13"/>
  <c r="F21" i="13" l="1"/>
  <c r="G21" i="13"/>
  <c r="F30" i="13"/>
  <c r="G30" i="13"/>
  <c r="F32" i="13"/>
  <c r="G32" i="13"/>
  <c r="F26" i="13"/>
  <c r="G26" i="13"/>
  <c r="F29" i="13"/>
  <c r="G29" i="13"/>
  <c r="F31" i="13"/>
  <c r="G31" i="13"/>
  <c r="F22" i="13"/>
  <c r="G22" i="13"/>
  <c r="F35" i="13"/>
  <c r="G35" i="13"/>
  <c r="E46" i="13"/>
  <c r="G18" i="13"/>
  <c r="F18" i="13"/>
  <c r="F27" i="13"/>
  <c r="G27" i="13"/>
  <c r="F25" i="13"/>
  <c r="G25" i="13"/>
  <c r="F34" i="13"/>
  <c r="G34" i="13"/>
  <c r="F19" i="13"/>
  <c r="G19" i="13"/>
  <c r="F28" i="13"/>
  <c r="G28" i="13"/>
  <c r="F20" i="13"/>
  <c r="G20" i="13"/>
  <c r="F24" i="13"/>
  <c r="G24" i="13"/>
  <c r="F33" i="13"/>
  <c r="G33" i="13"/>
  <c r="F23" i="13"/>
  <c r="G23" i="13"/>
  <c r="H31" i="13" l="1"/>
  <c r="D54" i="14" s="1"/>
  <c r="G54" i="14" s="1"/>
  <c r="J31" i="13" s="1"/>
  <c r="K31" i="13" s="1"/>
  <c r="H30" i="13"/>
  <c r="D53" i="14" s="1"/>
  <c r="G53" i="14" s="1"/>
  <c r="J30" i="13" s="1"/>
  <c r="K30" i="13" s="1"/>
  <c r="H20" i="13"/>
  <c r="D43" i="14" s="1"/>
  <c r="G43" i="14" s="1"/>
  <c r="J20" i="13" s="1"/>
  <c r="K20" i="13" s="1"/>
  <c r="H25" i="13"/>
  <c r="D48" i="14" s="1"/>
  <c r="G48" i="14" s="1"/>
  <c r="J25" i="13" s="1"/>
  <c r="K25" i="13" s="1"/>
  <c r="H33" i="13"/>
  <c r="D56" i="14" s="1"/>
  <c r="G56" i="14" s="1"/>
  <c r="J33" i="13" s="1"/>
  <c r="K33" i="13" s="1"/>
  <c r="H19" i="13"/>
  <c r="D42" i="14" s="1"/>
  <c r="G42" i="14" s="1"/>
  <c r="J19" i="13" s="1"/>
  <c r="K19" i="13" s="1"/>
  <c r="H23" i="13"/>
  <c r="D46" i="14" s="1"/>
  <c r="G46" i="14" s="1"/>
  <c r="J23" i="13" s="1"/>
  <c r="K23" i="13" s="1"/>
  <c r="H28" i="13"/>
  <c r="D51" i="14" s="1"/>
  <c r="G51" i="14" s="1"/>
  <c r="J28" i="13" s="1"/>
  <c r="K28" i="13" s="1"/>
  <c r="H27" i="13"/>
  <c r="D50" i="14" s="1"/>
  <c r="G50" i="14" s="1"/>
  <c r="J27" i="13" s="1"/>
  <c r="K27" i="13" s="1"/>
  <c r="H24" i="13"/>
  <c r="D47" i="14" s="1"/>
  <c r="G47" i="14" s="1"/>
  <c r="J24" i="13" s="1"/>
  <c r="K24" i="13" s="1"/>
  <c r="H34" i="13"/>
  <c r="D57" i="14" s="1"/>
  <c r="G57" i="14" s="1"/>
  <c r="J34" i="13" s="1"/>
  <c r="K34" i="13" s="1"/>
  <c r="H35" i="13"/>
  <c r="D58" i="14" s="1"/>
  <c r="G58" i="14" s="1"/>
  <c r="J35" i="13" s="1"/>
  <c r="K35" i="13" s="1"/>
  <c r="H26" i="13"/>
  <c r="D49" i="14" s="1"/>
  <c r="G49" i="14" s="1"/>
  <c r="J26" i="13" s="1"/>
  <c r="K26" i="13" s="1"/>
  <c r="H22" i="13"/>
  <c r="D45" i="14" s="1"/>
  <c r="G45" i="14" s="1"/>
  <c r="J22" i="13" s="1"/>
  <c r="K22" i="13" s="1"/>
  <c r="H32" i="13"/>
  <c r="D55" i="14" s="1"/>
  <c r="G55" i="14" s="1"/>
  <c r="J32" i="13" s="1"/>
  <c r="K32" i="13" s="1"/>
  <c r="F46" i="13"/>
  <c r="G46" i="13"/>
  <c r="H18" i="13"/>
  <c r="H29" i="13"/>
  <c r="D52" i="14" s="1"/>
  <c r="G52" i="14" s="1"/>
  <c r="J29" i="13" s="1"/>
  <c r="K29" i="13" s="1"/>
  <c r="H21" i="13"/>
  <c r="D44" i="14" s="1"/>
  <c r="G44" i="14" s="1"/>
  <c r="J21" i="13" s="1"/>
  <c r="K21" i="13" s="1"/>
  <c r="D41" i="14" l="1"/>
  <c r="H46" i="13"/>
  <c r="G41" i="14" l="1"/>
  <c r="D70" i="14"/>
  <c r="J18" i="13" l="1"/>
  <c r="G70" i="14"/>
  <c r="J46" i="13" l="1"/>
  <c r="J49" i="13" s="1"/>
  <c r="K18" i="13"/>
  <c r="K46" i="13" l="1"/>
  <c r="P93" i="12" l="1"/>
  <c r="D46" i="13"/>
  <c r="D18" i="13"/>
  <c r="E18" i="33"/>
  <c r="H160" i="1" s="1"/>
  <c r="G50" i="9" l="1"/>
  <c r="G52" i="9" l="1"/>
  <c r="I52" i="9" s="1"/>
  <c r="I50" i="9"/>
  <c r="I24" i="33"/>
  <c r="I27" i="33" s="1"/>
  <c r="H24" i="33"/>
  <c r="H27" i="33" s="1"/>
  <c r="E24" i="33"/>
  <c r="J28" i="33" l="1"/>
  <c r="G254" i="9"/>
  <c r="R254" i="9" s="1"/>
  <c r="G272" i="9"/>
  <c r="H155" i="1"/>
  <c r="H159" i="1"/>
  <c r="H173" i="1" l="1"/>
  <c r="H164" i="1"/>
  <c r="H175" i="1" l="1"/>
  <c r="H166" i="1"/>
  <c r="H177" i="1" l="1"/>
  <c r="H179" i="1" s="1"/>
  <c r="H289" i="1" l="1"/>
  <c r="I22" i="12"/>
  <c r="I23" i="12" s="1"/>
  <c r="L23" i="12" s="1"/>
  <c r="L36" i="12" s="1"/>
  <c r="H128" i="1"/>
  <c r="F67" i="12" l="1"/>
  <c r="G67" i="12" s="1"/>
  <c r="F78" i="12"/>
  <c r="G78" i="12" s="1"/>
  <c r="F80" i="12"/>
  <c r="G80" i="12" s="1"/>
  <c r="F75" i="12"/>
  <c r="G75" i="12" s="1"/>
  <c r="F72" i="12"/>
  <c r="G72" i="12" s="1"/>
  <c r="F71" i="12"/>
  <c r="G71" i="12" s="1"/>
  <c r="F76" i="12"/>
  <c r="G76" i="12" s="1"/>
  <c r="F69" i="12"/>
  <c r="G69" i="12" s="1"/>
  <c r="F77" i="12"/>
  <c r="G77" i="12" s="1"/>
  <c r="F74" i="12"/>
  <c r="G74" i="12" s="1"/>
  <c r="F66" i="12"/>
  <c r="G66" i="12" s="1"/>
  <c r="F73" i="12"/>
  <c r="G73" i="12" s="1"/>
  <c r="F68" i="12"/>
  <c r="G68" i="12" s="1"/>
  <c r="F79" i="12"/>
  <c r="G79" i="12" s="1"/>
  <c r="F70" i="12"/>
  <c r="G70" i="12" s="1"/>
  <c r="F83" i="12"/>
  <c r="G83" i="12" s="1"/>
  <c r="F81" i="12"/>
  <c r="G81" i="12" s="1"/>
  <c r="F82" i="12"/>
  <c r="G82" i="12" s="1"/>
  <c r="H130" i="1"/>
  <c r="H137" i="1" l="1"/>
  <c r="G93" i="12"/>
  <c r="H286" i="1" l="1"/>
  <c r="H139" i="1"/>
  <c r="I16" i="8" l="1"/>
  <c r="I56" i="8" s="1"/>
  <c r="I83" i="8" s="1"/>
  <c r="I85" i="8" s="1"/>
  <c r="I9" i="8" s="1"/>
  <c r="H321" i="1" s="1"/>
  <c r="H252" i="1"/>
  <c r="H287" i="1"/>
  <c r="H292" i="1" l="1"/>
  <c r="H278" i="1"/>
  <c r="H280" i="1" l="1"/>
  <c r="I43" i="12"/>
  <c r="I44" i="12" s="1"/>
  <c r="L44" i="12" l="1"/>
  <c r="H293" i="1"/>
  <c r="I39" i="12" l="1"/>
  <c r="I40" i="12" s="1"/>
  <c r="H295" i="1"/>
  <c r="L40" i="12" l="1"/>
  <c r="L46" i="12" s="1"/>
  <c r="I46" i="12"/>
  <c r="H302" i="1"/>
  <c r="H303" i="1" l="1"/>
  <c r="I75" i="12"/>
  <c r="J75" i="12" s="1"/>
  <c r="L75" i="12" s="1"/>
  <c r="I66" i="12"/>
  <c r="J66" i="12" s="1"/>
  <c r="I73" i="12"/>
  <c r="J73" i="12" s="1"/>
  <c r="L73" i="12" s="1"/>
  <c r="O73" i="12" s="1"/>
  <c r="Q73" i="12" s="1"/>
  <c r="I76" i="12"/>
  <c r="J76" i="12" s="1"/>
  <c r="L76" i="12" s="1"/>
  <c r="O76" i="12" s="1"/>
  <c r="Q76" i="12" s="1"/>
  <c r="I72" i="12"/>
  <c r="J72" i="12" s="1"/>
  <c r="L72" i="12" s="1"/>
  <c r="O72" i="12" s="1"/>
  <c r="Q72" i="12" s="1"/>
  <c r="I81" i="12"/>
  <c r="J81" i="12" s="1"/>
  <c r="L81" i="12" s="1"/>
  <c r="O81" i="12" s="1"/>
  <c r="Q81" i="12" s="1"/>
  <c r="I83" i="12"/>
  <c r="J83" i="12" s="1"/>
  <c r="L83" i="12" s="1"/>
  <c r="O83" i="12" s="1"/>
  <c r="Q83" i="12" s="1"/>
  <c r="I67" i="12"/>
  <c r="J67" i="12" s="1"/>
  <c r="L67" i="12" s="1"/>
  <c r="I79" i="12"/>
  <c r="J79" i="12" s="1"/>
  <c r="L79" i="12" s="1"/>
  <c r="O79" i="12" s="1"/>
  <c r="Q79" i="12" s="1"/>
  <c r="I69" i="12"/>
  <c r="J69" i="12" s="1"/>
  <c r="L69" i="12" s="1"/>
  <c r="I77" i="12"/>
  <c r="J77" i="12" s="1"/>
  <c r="L77" i="12" s="1"/>
  <c r="O77" i="12" s="1"/>
  <c r="Q77" i="12" s="1"/>
  <c r="I70" i="12"/>
  <c r="J70" i="12" s="1"/>
  <c r="L70" i="12" s="1"/>
  <c r="O70" i="12" s="1"/>
  <c r="Q70" i="12" s="1"/>
  <c r="I78" i="12"/>
  <c r="J78" i="12" s="1"/>
  <c r="L78" i="12" s="1"/>
  <c r="I74" i="12"/>
  <c r="J74" i="12" s="1"/>
  <c r="L74" i="12" s="1"/>
  <c r="I82" i="12"/>
  <c r="J82" i="12" s="1"/>
  <c r="L82" i="12" s="1"/>
  <c r="O82" i="12" s="1"/>
  <c r="Q82" i="12" s="1"/>
  <c r="I71" i="12"/>
  <c r="J71" i="12" s="1"/>
  <c r="L71" i="12" s="1"/>
  <c r="O71" i="12" s="1"/>
  <c r="Q71" i="12" s="1"/>
  <c r="I80" i="12"/>
  <c r="J80" i="12" s="1"/>
  <c r="L80" i="12" s="1"/>
  <c r="O80" i="12" s="1"/>
  <c r="Q80" i="12" s="1"/>
  <c r="I68" i="12"/>
  <c r="J68" i="12" s="1"/>
  <c r="L68" i="12" s="1"/>
  <c r="J93" i="12" l="1"/>
  <c r="L66" i="12"/>
  <c r="H309" i="1"/>
  <c r="H312" i="1" l="1"/>
  <c r="H327" i="1"/>
  <c r="H320" i="1"/>
  <c r="L93" i="12"/>
  <c r="O66" i="12"/>
  <c r="Q66" i="12" l="1"/>
  <c r="H322" i="1"/>
  <c r="H315" i="1"/>
  <c r="H316" i="1"/>
  <c r="H314" i="1"/>
  <c r="I18" i="15" l="1"/>
  <c r="I12" i="15"/>
  <c r="H324" i="1"/>
  <c r="H325" i="1"/>
  <c r="I13" i="15" l="1"/>
  <c r="I14" i="15" s="1"/>
  <c r="BI29" i="15"/>
  <c r="I29" i="15"/>
  <c r="BA29" i="15"/>
  <c r="BE29" i="15"/>
  <c r="M29" i="15"/>
  <c r="E29" i="15"/>
  <c r="AO29" i="15"/>
  <c r="AS29" i="15"/>
  <c r="U29" i="15"/>
  <c r="BM29" i="15"/>
  <c r="Y29" i="15"/>
  <c r="AK29" i="15"/>
  <c r="AW29" i="15"/>
  <c r="BQ29" i="15"/>
  <c r="Q29" i="15"/>
  <c r="AC29" i="15"/>
  <c r="AG29" i="15"/>
  <c r="P66" i="15" l="1"/>
  <c r="P74" i="15"/>
  <c r="P62" i="15"/>
  <c r="P72" i="15"/>
  <c r="P64" i="15"/>
  <c r="P68" i="15"/>
  <c r="P70" i="15"/>
  <c r="BT75" i="15"/>
  <c r="BT70" i="15"/>
  <c r="BT72" i="15"/>
  <c r="BT62" i="15"/>
  <c r="BT64" i="15"/>
  <c r="BT66" i="15"/>
  <c r="BT65" i="15"/>
  <c r="BT69" i="15"/>
  <c r="BT71" i="15"/>
  <c r="BT67" i="15"/>
  <c r="BT74" i="15"/>
  <c r="BT63" i="15"/>
  <c r="BT68" i="15"/>
  <c r="BT73" i="15"/>
  <c r="BH64" i="15"/>
  <c r="BH72" i="15"/>
  <c r="BH62" i="15"/>
  <c r="BH68" i="15"/>
  <c r="BH74" i="15"/>
  <c r="BH66" i="15"/>
  <c r="BH70" i="15"/>
  <c r="L68" i="15"/>
  <c r="L70" i="15"/>
  <c r="L72" i="15"/>
  <c r="L66" i="15"/>
  <c r="L62" i="15"/>
  <c r="L64" i="15"/>
  <c r="L74" i="15"/>
  <c r="X66" i="15"/>
  <c r="X62" i="15"/>
  <c r="X68" i="15"/>
  <c r="X64" i="15"/>
  <c r="X70" i="15"/>
  <c r="X72" i="15"/>
  <c r="X74" i="15"/>
  <c r="E30" i="15"/>
  <c r="H64" i="15"/>
  <c r="H70" i="15"/>
  <c r="H68" i="15"/>
  <c r="H72" i="15"/>
  <c r="H62" i="15"/>
  <c r="H74" i="15"/>
  <c r="H66" i="15"/>
  <c r="AK30" i="15"/>
  <c r="AN66" i="15"/>
  <c r="AN68" i="15"/>
  <c r="AN72" i="15"/>
  <c r="AN64" i="15"/>
  <c r="AN70" i="15"/>
  <c r="AN74" i="15"/>
  <c r="AN62" i="15"/>
  <c r="BP74" i="15"/>
  <c r="BP73" i="15"/>
  <c r="BP69" i="15"/>
  <c r="BP71" i="15"/>
  <c r="BP64" i="15"/>
  <c r="BP62" i="15"/>
  <c r="BP72" i="15"/>
  <c r="BP67" i="15"/>
  <c r="BP63" i="15"/>
  <c r="BP70" i="15"/>
  <c r="BP66" i="15"/>
  <c r="BP65" i="15"/>
  <c r="BP68" i="15"/>
  <c r="BP75" i="15"/>
  <c r="AJ72" i="15"/>
  <c r="AJ70" i="15"/>
  <c r="AJ62" i="15"/>
  <c r="AJ64" i="15"/>
  <c r="AJ66" i="15"/>
  <c r="AJ74" i="15"/>
  <c r="AJ68" i="15"/>
  <c r="AC30" i="15"/>
  <c r="AF70" i="15"/>
  <c r="AF62" i="15"/>
  <c r="AF66" i="15"/>
  <c r="AF72" i="15"/>
  <c r="AF74" i="15"/>
  <c r="AF64" i="15"/>
  <c r="AF68" i="15"/>
  <c r="AV64" i="15"/>
  <c r="AV68" i="15"/>
  <c r="AV72" i="15"/>
  <c r="AV70" i="15"/>
  <c r="AV74" i="15"/>
  <c r="AV66" i="15"/>
  <c r="AV62" i="15"/>
  <c r="AZ72" i="15"/>
  <c r="AZ68" i="15"/>
  <c r="AZ70" i="15"/>
  <c r="AZ62" i="15"/>
  <c r="AZ74" i="15"/>
  <c r="AZ64" i="15"/>
  <c r="AZ66" i="15"/>
  <c r="AB64" i="15"/>
  <c r="AB62" i="15"/>
  <c r="AB68" i="15"/>
  <c r="AB70" i="15"/>
  <c r="AB74" i="15"/>
  <c r="AB66" i="15"/>
  <c r="AB72" i="15"/>
  <c r="BD66" i="15"/>
  <c r="BD62" i="15"/>
  <c r="BD70" i="15"/>
  <c r="BD64" i="15"/>
  <c r="BD74" i="15"/>
  <c r="BD72" i="15"/>
  <c r="BD68" i="15"/>
  <c r="BL70" i="15"/>
  <c r="BL68" i="15"/>
  <c r="BL65" i="15"/>
  <c r="BL64" i="15"/>
  <c r="BL63" i="15"/>
  <c r="BL74" i="15"/>
  <c r="BL72" i="15"/>
  <c r="BL66" i="15"/>
  <c r="BL62" i="15"/>
  <c r="Q30" i="15"/>
  <c r="T66" i="15"/>
  <c r="T62" i="15"/>
  <c r="T70" i="15"/>
  <c r="T64" i="15"/>
  <c r="T72" i="15"/>
  <c r="T68" i="15"/>
  <c r="T74" i="15"/>
  <c r="AR72" i="15"/>
  <c r="AR66" i="15"/>
  <c r="AR68" i="15"/>
  <c r="AR62" i="15"/>
  <c r="AR64" i="15"/>
  <c r="AR70" i="15"/>
  <c r="AR74" i="15"/>
  <c r="BI30" i="15"/>
  <c r="Y30" i="15"/>
  <c r="BM30" i="15"/>
  <c r="AG30" i="15"/>
  <c r="BQ30" i="15"/>
  <c r="AW30" i="15"/>
  <c r="AO30" i="15"/>
  <c r="M30" i="15"/>
  <c r="BE30" i="15"/>
  <c r="U30" i="15"/>
  <c r="AS30" i="15"/>
  <c r="BA30" i="15"/>
  <c r="I30" i="15"/>
  <c r="L67" i="15" l="1"/>
  <c r="L69" i="15"/>
  <c r="L65" i="15"/>
  <c r="N68" i="12" s="1"/>
  <c r="O68" i="12" s="1"/>
  <c r="Q68" i="12" s="1"/>
  <c r="L73" i="15"/>
  <c r="L63" i="15"/>
  <c r="L71" i="15"/>
  <c r="L75" i="15"/>
  <c r="AJ69" i="15"/>
  <c r="AJ65" i="15"/>
  <c r="N74" i="12" s="1"/>
  <c r="O74" i="12" s="1"/>
  <c r="Q74" i="12" s="1"/>
  <c r="AJ75" i="15"/>
  <c r="AJ67" i="15"/>
  <c r="AJ63" i="15"/>
  <c r="AJ71" i="15"/>
  <c r="AJ73" i="15"/>
  <c r="BU72" i="15"/>
  <c r="BW72" i="15" s="1"/>
  <c r="BU62" i="15"/>
  <c r="BW62" i="15" s="1"/>
  <c r="BU68" i="15"/>
  <c r="BW68" i="15" s="1"/>
  <c r="AB65" i="15"/>
  <c r="AB73" i="15"/>
  <c r="AB63" i="15"/>
  <c r="AB69" i="15"/>
  <c r="AB67" i="15"/>
  <c r="AB75" i="15"/>
  <c r="AB71" i="15"/>
  <c r="T67" i="15"/>
  <c r="T71" i="15"/>
  <c r="T75" i="15"/>
  <c r="T63" i="15"/>
  <c r="T69" i="15"/>
  <c r="T73" i="15"/>
  <c r="T65" i="15"/>
  <c r="BU70" i="15"/>
  <c r="BW70" i="15" s="1"/>
  <c r="BL80" i="15"/>
  <c r="BL81" i="15"/>
  <c r="AV63" i="15"/>
  <c r="AV73" i="15"/>
  <c r="AV67" i="15"/>
  <c r="AV65" i="15"/>
  <c r="AV71" i="15"/>
  <c r="AV75" i="15"/>
  <c r="AV69" i="15"/>
  <c r="X67" i="15"/>
  <c r="X71" i="15"/>
  <c r="X73" i="15"/>
  <c r="X69" i="15"/>
  <c r="X75" i="15"/>
  <c r="X65" i="15"/>
  <c r="X63" i="15"/>
  <c r="BH65" i="15"/>
  <c r="BH73" i="15"/>
  <c r="BH67" i="15"/>
  <c r="BH63" i="15"/>
  <c r="BH71" i="15"/>
  <c r="BH75" i="15"/>
  <c r="BH69" i="15"/>
  <c r="BL67" i="15"/>
  <c r="BL69" i="15"/>
  <c r="BL75" i="15"/>
  <c r="BL73" i="15"/>
  <c r="BL71" i="15"/>
  <c r="BU64" i="15"/>
  <c r="BW64" i="15" s="1"/>
  <c r="BD75" i="15"/>
  <c r="BD71" i="15"/>
  <c r="BD67" i="15"/>
  <c r="BD63" i="15"/>
  <c r="BD73" i="15"/>
  <c r="BD65" i="15"/>
  <c r="BD69" i="15"/>
  <c r="BP81" i="15"/>
  <c r="BP80" i="15"/>
  <c r="AN73" i="15"/>
  <c r="AN67" i="15"/>
  <c r="AN63" i="15"/>
  <c r="AN71" i="15"/>
  <c r="AN75" i="15"/>
  <c r="AN69" i="15"/>
  <c r="AN65" i="15"/>
  <c r="N75" i="12" s="1"/>
  <c r="O75" i="12" s="1"/>
  <c r="Q75" i="12" s="1"/>
  <c r="H67" i="15"/>
  <c r="H75" i="15"/>
  <c r="H71" i="15"/>
  <c r="H69" i="15"/>
  <c r="H65" i="15"/>
  <c r="H63" i="15"/>
  <c r="H73" i="15"/>
  <c r="BT80" i="15"/>
  <c r="BT81" i="15"/>
  <c r="AF73" i="15"/>
  <c r="AF71" i="15"/>
  <c r="AF67" i="15"/>
  <c r="AF69" i="15"/>
  <c r="AF75" i="15"/>
  <c r="AF63" i="15"/>
  <c r="AF65" i="15"/>
  <c r="P71" i="15"/>
  <c r="P65" i="15"/>
  <c r="N69" i="12" s="1"/>
  <c r="O69" i="12" s="1"/>
  <c r="Q69" i="12" s="1"/>
  <c r="P69" i="15"/>
  <c r="P75" i="15"/>
  <c r="P63" i="15"/>
  <c r="P73" i="15"/>
  <c r="P67" i="15"/>
  <c r="AR63" i="15"/>
  <c r="AR65" i="15"/>
  <c r="AR75" i="15"/>
  <c r="AR69" i="15"/>
  <c r="AR67" i="15"/>
  <c r="AR71" i="15"/>
  <c r="AR73" i="15"/>
  <c r="BU66" i="15"/>
  <c r="BW66" i="15" s="1"/>
  <c r="AZ65" i="15"/>
  <c r="N78" i="12" s="1"/>
  <c r="O78" i="12" s="1"/>
  <c r="Q78" i="12" s="1"/>
  <c r="AZ71" i="15"/>
  <c r="AZ75" i="15"/>
  <c r="AZ67" i="15"/>
  <c r="AZ73" i="15"/>
  <c r="AZ63" i="15"/>
  <c r="AZ69" i="15"/>
  <c r="BU74" i="15"/>
  <c r="BW74" i="15" s="1"/>
  <c r="BW78" i="15" l="1"/>
  <c r="BU71" i="15"/>
  <c r="BV71" i="15" s="1"/>
  <c r="X80" i="15"/>
  <c r="X81" i="15"/>
  <c r="BU75" i="15"/>
  <c r="BV75" i="15" s="1"/>
  <c r="BU67" i="15"/>
  <c r="BV67" i="15" s="1"/>
  <c r="BX67" i="15" s="1"/>
  <c r="AR80" i="15"/>
  <c r="AR81" i="15"/>
  <c r="AF81" i="15"/>
  <c r="AF80" i="15"/>
  <c r="BU73" i="15"/>
  <c r="BV73" i="15" s="1"/>
  <c r="BH80" i="15"/>
  <c r="BH81" i="15"/>
  <c r="T81" i="15"/>
  <c r="T80" i="15"/>
  <c r="AB81" i="15"/>
  <c r="AB80" i="15"/>
  <c r="AJ81" i="15"/>
  <c r="AJ80" i="15"/>
  <c r="AV81" i="15"/>
  <c r="AV80" i="15"/>
  <c r="H80" i="15"/>
  <c r="H81" i="15"/>
  <c r="BU63" i="15"/>
  <c r="BV63" i="15" s="1"/>
  <c r="AZ81" i="15"/>
  <c r="AZ80" i="15"/>
  <c r="P80" i="15"/>
  <c r="P81" i="15"/>
  <c r="N67" i="12"/>
  <c r="BU65" i="15"/>
  <c r="BV65" i="15" s="1"/>
  <c r="BU69" i="15"/>
  <c r="BV69" i="15" s="1"/>
  <c r="AN81" i="15"/>
  <c r="AN80" i="15"/>
  <c r="BD80" i="15"/>
  <c r="BD81" i="15"/>
  <c r="BV78" i="15" l="1"/>
  <c r="BX63" i="15"/>
  <c r="D81" i="15"/>
  <c r="BX65" i="15"/>
  <c r="D80" i="15"/>
  <c r="N93" i="12"/>
  <c r="H329" i="1" s="1"/>
  <c r="O67" i="12"/>
  <c r="Q67" i="12" l="1"/>
  <c r="Q93" i="12" s="1"/>
  <c r="O93" i="12"/>
  <c r="H332" i="1"/>
  <c r="H336" i="1" l="1"/>
  <c r="H338" i="1" l="1"/>
</calcChain>
</file>

<file path=xl/sharedStrings.xml><?xml version="1.0" encoding="utf-8"?>
<sst xmlns="http://schemas.openxmlformats.org/spreadsheetml/2006/main" count="5777" uniqueCount="2169">
  <si>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</si>
  <si>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</si>
  <si>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</si>
  <si>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</si>
  <si>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</si>
  <si>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</si>
  <si>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</si>
  <si>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</si>
  <si>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</si>
  <si>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</si>
  <si>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</si>
  <si>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</si>
  <si>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</si>
  <si>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</si>
  <si>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</si>
  <si>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</si>
  <si>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</si>
  <si>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</si>
  <si>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</si>
  <si>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B0288 Brighton Sub</t>
  </si>
  <si>
    <t>BO319 Burches Hill 500/230 kV transformer - second 1000 MVA</t>
  </si>
  <si>
    <t>BO367.1/BO367.2 Reconductor Dickerson-Quince Orchard 230 kV</t>
  </si>
  <si>
    <t>BO512.7  Chalk Point 230 kV Breaker 1A</t>
  </si>
  <si>
    <t>BO512.8  Chalk Point 230 kV Breaker 1B</t>
  </si>
  <si>
    <t>BO512.9  Chalk Point 230 kV Breaker 2A</t>
  </si>
  <si>
    <t>B0512.12 Chalk Point 230 kV Breaker 3A</t>
  </si>
  <si>
    <t>BO478 Burches Hill-Palmer Cr Upgrade 23090, 91, 92, 93</t>
  </si>
  <si>
    <t>BO499 Burches Hill Sub:  Add 3rd 500/230kV</t>
  </si>
  <si>
    <t>BO526 Ritchie-Benning:  Install (2) 230kV Lines</t>
  </si>
  <si>
    <t>BO701.1 Benning Sub:  Add 3rd 230/69kV, 250MVA</t>
  </si>
  <si>
    <t>BO496 Brighton Sub: Upgrade T1 500/230kv Transormer</t>
  </si>
  <si>
    <t>B1125 Convert Buzzard to Ritchie Line - 138kV to 230kV</t>
  </si>
  <si>
    <t>b2008 Reconductor feeder Dickerson to Quince Orchard</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</si>
  <si>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</si>
  <si>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</si>
  <si>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</si>
  <si>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</si>
  <si>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</si>
  <si>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</si>
  <si>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</si>
  <si>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</si>
  <si>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</si>
  <si>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</si>
  <si>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</si>
  <si>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</si>
  <si>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</si>
  <si>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</si>
  <si>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</si>
  <si>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</si>
  <si>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</si>
  <si>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</si>
  <si>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Annual Depreciation/ Amortization Exp</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</si>
  <si>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</si>
  <si>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</si>
  <si>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</si>
  <si>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</si>
  <si>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</si>
  <si>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</si>
  <si>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</si>
  <si>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</si>
  <si>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</si>
  <si>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</si>
  <si>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</si>
  <si>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</si>
  <si>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</si>
  <si>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</si>
  <si>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</si>
  <si>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</si>
  <si>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</si>
  <si>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</si>
  <si>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</si>
  <si>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</si>
  <si>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</si>
  <si>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</si>
  <si>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</si>
  <si>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</si>
  <si>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</si>
  <si>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</si>
  <si>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</si>
  <si>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</si>
  <si>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</si>
  <si>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</si>
  <si>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</si>
  <si>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</si>
  <si>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</si>
  <si>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</si>
  <si>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</si>
  <si>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</si>
  <si>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</si>
  <si>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</si>
  <si>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</si>
  <si>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</si>
  <si>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</si>
  <si>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</si>
  <si>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</si>
  <si>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</si>
  <si>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</si>
  <si>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</si>
  <si>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</si>
  <si>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</si>
  <si>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</si>
  <si>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</si>
  <si>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</si>
  <si>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Maryland</t>
  </si>
  <si>
    <t>DC</t>
  </si>
  <si>
    <t>Enter State</t>
  </si>
  <si>
    <t>Enter Calculation</t>
  </si>
  <si>
    <t>Enter %</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</si>
  <si>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</si>
  <si>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</si>
  <si>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</si>
  <si>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</si>
  <si>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</si>
  <si>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</si>
  <si>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</si>
  <si>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</si>
  <si>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</si>
  <si>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</si>
  <si>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</si>
  <si>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</si>
  <si>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</si>
  <si>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</si>
  <si>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</si>
  <si>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</si>
  <si>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</si>
  <si>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</si>
  <si>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</si>
  <si>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</si>
  <si>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</si>
  <si>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</si>
  <si>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</si>
  <si>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</si>
  <si>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Prepayments  - DC ROW</t>
  </si>
  <si>
    <t xml:space="preserve">  Prepayments related to DC ROW</t>
  </si>
  <si>
    <t xml:space="preserve">Prepayments </t>
  </si>
  <si>
    <t>Prepayments - Transmission Personal Property Tax</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</si>
  <si>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</si>
  <si>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</si>
  <si>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</si>
  <si>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</si>
  <si>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</si>
  <si>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</si>
  <si>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</si>
  <si>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</si>
  <si>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</si>
  <si>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</si>
  <si>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</si>
  <si>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</si>
  <si>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</si>
  <si>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</si>
  <si>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</si>
  <si>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</si>
  <si>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</si>
  <si>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</si>
  <si>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</si>
  <si>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</si>
  <si>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</si>
  <si>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</si>
  <si>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</si>
  <si>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</si>
  <si>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Pepco zone</t>
  </si>
  <si>
    <t>Beginning Balance of Unamortized Transmission Plant</t>
  </si>
  <si>
    <t>Per FERC Order</t>
  </si>
  <si>
    <t>Months Remaining in Amortization Period</t>
  </si>
  <si>
    <t>A/B</t>
  </si>
  <si>
    <t>Months in Year to be Amortized</t>
  </si>
  <si>
    <t>E</t>
  </si>
  <si>
    <t>C*D</t>
  </si>
  <si>
    <t>Line 86a</t>
  </si>
  <si>
    <t>F</t>
  </si>
  <si>
    <t>Deductions</t>
  </si>
  <si>
    <t>G</t>
  </si>
  <si>
    <t>End of Year Balance in Unamortized Transmission Plant</t>
  </si>
  <si>
    <t>A-E-F</t>
  </si>
  <si>
    <t>MAPP Abandonment recovery pursuant to ER13-607</t>
  </si>
  <si>
    <t>DPL</t>
  </si>
  <si>
    <t>Pepco</t>
  </si>
  <si>
    <t>171a</t>
  </si>
  <si>
    <t>2013-14 rate period</t>
  </si>
  <si>
    <t>2014-15 rate period</t>
  </si>
  <si>
    <t>2015-16 rate period</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</si>
  <si>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</si>
  <si>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</si>
  <si>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</si>
  <si>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</si>
  <si>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</si>
  <si>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</si>
  <si>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</si>
  <si>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</si>
  <si>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</si>
  <si>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</si>
  <si>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</si>
  <si>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</si>
  <si>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</si>
  <si>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</si>
  <si>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</si>
  <si>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</si>
  <si>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</si>
  <si>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</si>
  <si>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</si>
  <si>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</si>
  <si>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</si>
  <si>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</si>
  <si>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</si>
  <si>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</si>
  <si>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</si>
  <si>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</si>
  <si>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</si>
  <si>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</si>
  <si>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</si>
  <si>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</si>
  <si>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</si>
  <si>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</si>
  <si>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</si>
  <si>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</si>
  <si>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</si>
  <si>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</si>
  <si>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</si>
  <si>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</si>
  <si>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</si>
  <si>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</si>
  <si>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</si>
  <si>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</si>
  <si>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</si>
  <si>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</si>
  <si>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</si>
  <si>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</si>
  <si>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</si>
  <si>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</si>
  <si>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</si>
  <si>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p = percent of federal income tax deductible for state purposes</t>
  </si>
  <si>
    <t>T</t>
  </si>
  <si>
    <t xml:space="preserve">     T=1 - {[(1 - SIT) * (1 - FIT)] / (1 - SIT * FIT * p)} =</t>
  </si>
  <si>
    <t>T/ (1-T)</t>
  </si>
  <si>
    <t>ITC Adjustment</t>
  </si>
  <si>
    <t>enter negative</t>
  </si>
  <si>
    <t>Net Plant Allocation Factor</t>
  </si>
  <si>
    <t>ITC Adjustment Allocated to Transmission</t>
  </si>
  <si>
    <t>(Note I from Appendix A)</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</si>
  <si>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</si>
  <si>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</si>
  <si>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</si>
  <si>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</si>
  <si>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</si>
  <si>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</si>
  <si>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</si>
  <si>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</si>
  <si>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</si>
  <si>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</si>
  <si>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</si>
  <si>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</si>
  <si>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</si>
  <si>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</si>
  <si>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</si>
  <si>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</si>
  <si>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</si>
  <si>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</si>
  <si>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</si>
  <si>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</si>
  <si>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</si>
  <si>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</si>
  <si>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</si>
  <si>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</si>
  <si>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</si>
  <si>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</si>
  <si>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</si>
  <si>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</si>
  <si>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</si>
  <si>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</si>
  <si>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</si>
  <si>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</si>
  <si>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</si>
  <si>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Allocation of Property taxes to Transmission Function</t>
  </si>
  <si>
    <t xml:space="preserve">Assessable Plant </t>
  </si>
  <si>
    <t>Transmission</t>
  </si>
  <si>
    <t>Distribution</t>
  </si>
  <si>
    <t>General</t>
  </si>
  <si>
    <t xml:space="preserve">  Total T,D&amp;Genl</t>
  </si>
  <si>
    <t>Plant ratios by Jurisdiction</t>
  </si>
  <si>
    <t>Transmission Ratio</t>
  </si>
  <si>
    <t>Distribution ratio</t>
  </si>
  <si>
    <t>General Ratio</t>
  </si>
  <si>
    <t xml:space="preserve">Property Taxes </t>
  </si>
  <si>
    <t>Transmission  Property Tax</t>
  </si>
  <si>
    <t>Distribution Property tax</t>
  </si>
  <si>
    <t>General Property Tax</t>
  </si>
  <si>
    <t xml:space="preserve">  Total check</t>
  </si>
  <si>
    <t xml:space="preserve">    Trans Labor Ratio </t>
  </si>
  <si>
    <t>Trans General</t>
  </si>
  <si>
    <t>Total Transmission Property Taxes</t>
  </si>
  <si>
    <t xml:space="preserve">General </t>
  </si>
  <si>
    <t>Attachment 2 - Taxes Other Than Income Worksheet</t>
  </si>
  <si>
    <t>Page 263</t>
  </si>
  <si>
    <t>Allocated</t>
  </si>
  <si>
    <t>Other Taxes</t>
  </si>
  <si>
    <t>Col (i)</t>
  </si>
  <si>
    <t>Allocator</t>
  </si>
  <si>
    <t>Gross Plant Allocator</t>
  </si>
  <si>
    <t>Transmission Personal Property Tax  (directly assigned to Transmission)</t>
  </si>
  <si>
    <t>1a</t>
  </si>
  <si>
    <t>Other Personal Property Tax (excluded)</t>
  </si>
  <si>
    <t>Capital Stock Tax</t>
  </si>
  <si>
    <t>Gross Premium (insurance) Tax</t>
  </si>
  <si>
    <t>PURTA</t>
  </si>
  <si>
    <t>Corp License</t>
  </si>
  <si>
    <t>Total Plant Related</t>
  </si>
  <si>
    <t>Labor Related</t>
  </si>
  <si>
    <t xml:space="preserve">Wages &amp; Salary Allocator </t>
  </si>
  <si>
    <t>Federal FICA &amp; Unemployment &amp; state unemployment</t>
  </si>
  <si>
    <t>Total Labor Related</t>
  </si>
  <si>
    <t>Other Included</t>
  </si>
  <si>
    <t>Miscellaneous</t>
  </si>
  <si>
    <t>Total Other Included</t>
  </si>
  <si>
    <t>Total Included</t>
  </si>
  <si>
    <t>Currently Excluded</t>
  </si>
  <si>
    <t>MD Franchise Tax</t>
  </si>
  <si>
    <t>MD Environmental Surcharge</t>
  </si>
  <si>
    <t>MD Universal Surcharge</t>
  </si>
  <si>
    <t>MD Montgomery County Fuel</t>
  </si>
  <si>
    <t>MD PSC Assessment</t>
  </si>
  <si>
    <t>MD Sales &amp; Use Tax</t>
  </si>
  <si>
    <t>MD Real Property Taxes</t>
  </si>
  <si>
    <t>DC PSC Assessment</t>
  </si>
  <si>
    <t>DC Delivery Tax</t>
  </si>
  <si>
    <t>DC Real Property Tax</t>
  </si>
  <si>
    <t>DC Business Improvement Tax</t>
  </si>
  <si>
    <t>DC Ballpark</t>
  </si>
  <si>
    <t>DC Right-of-Way</t>
  </si>
  <si>
    <t>DC RETF, SETF and EATF Funds</t>
  </si>
  <si>
    <t>VA Property Taxes</t>
  </si>
  <si>
    <t xml:space="preserve">Misc. Other-Sales and Use DC </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</si>
  <si>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</si>
  <si>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</si>
  <si>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</si>
  <si>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</si>
  <si>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</si>
  <si>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</si>
  <si>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</si>
  <si>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</si>
  <si>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</si>
  <si>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</si>
  <si>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</si>
  <si>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</si>
  <si>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</si>
  <si>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</si>
  <si>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</si>
  <si>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</si>
  <si>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</si>
  <si>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</si>
  <si>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</si>
  <si>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</si>
  <si>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</si>
  <si>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Deferred Compensation</t>
  </si>
  <si>
    <t>Allowance for Doubtful Accounts</t>
  </si>
  <si>
    <t>Accrued Liabilities</t>
  </si>
  <si>
    <t>Environmental Expense</t>
  </si>
  <si>
    <t>Capital Loss Limitation</t>
  </si>
  <si>
    <t>FAS 106 OPEB Adjustment</t>
  </si>
  <si>
    <t>Regulatory Liabilities</t>
  </si>
  <si>
    <t>FAS 109 - Deferred Taxes on ITC</t>
  </si>
  <si>
    <t>Other 190 Deferred Taxes</t>
  </si>
  <si>
    <t>Merger Commitment Deferrals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</si>
  <si>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</si>
  <si>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</si>
  <si>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</si>
  <si>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</si>
  <si>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</si>
  <si>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</si>
  <si>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</si>
  <si>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 xml:space="preserve">Reacquired Debt </t>
  </si>
  <si>
    <t>Maryland Property Taxes</t>
  </si>
  <si>
    <t>Prepaid Interest</t>
  </si>
  <si>
    <t>Regulatory Asset - DSM</t>
  </si>
  <si>
    <t>Regulatory Asset - FERC Formula Rate True-up</t>
  </si>
  <si>
    <t>Regulatory Assets</t>
  </si>
  <si>
    <t>Pension Plan Contribution</t>
  </si>
  <si>
    <t>Instructions for Account 283:</t>
  </si>
  <si>
    <t>ADITC-255</t>
  </si>
  <si>
    <t>ATTACHMENT H-9A</t>
  </si>
  <si>
    <t>Formula Rate -- Appendix A</t>
  </si>
  <si>
    <t>Notes</t>
  </si>
  <si>
    <t>FERC Form 1  Page # or Instruction</t>
  </si>
  <si>
    <t>Shaded cells are input cells</t>
  </si>
  <si>
    <t>Allocators</t>
  </si>
  <si>
    <t>Wages &amp; Salary Allocation Factor</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</si>
  <si>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</si>
  <si>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</si>
  <si>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</si>
  <si>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</si>
  <si>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</si>
  <si>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</si>
  <si>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</si>
  <si>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</si>
  <si>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</si>
  <si>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</si>
  <si>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</si>
  <si>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</si>
  <si>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</si>
  <si>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</si>
  <si>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</si>
  <si>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</si>
  <si>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</si>
  <si>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</si>
  <si>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</si>
  <si>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</si>
  <si>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</si>
  <si>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</si>
  <si>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</si>
  <si>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</si>
  <si>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</si>
  <si>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</si>
  <si>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</si>
  <si>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</si>
  <si>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</si>
  <si>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</si>
  <si>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</si>
  <si>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</si>
  <si>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</si>
  <si>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</si>
  <si>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</si>
  <si>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</si>
  <si>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</si>
  <si>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</si>
  <si>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</si>
  <si>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</si>
  <si>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</si>
  <si>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</si>
  <si>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</si>
  <si>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</si>
  <si>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</si>
  <si>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</si>
  <si>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</si>
  <si>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</si>
  <si>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</si>
  <si>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</si>
  <si>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</si>
  <si>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</si>
  <si>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</si>
  <si>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</si>
  <si>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</si>
  <si>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</si>
  <si>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</si>
  <si>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</si>
  <si>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</si>
  <si>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</si>
  <si>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</si>
  <si>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</si>
  <si>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</si>
  <si>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</si>
  <si>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</si>
  <si>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</si>
  <si>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</si>
  <si>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</si>
  <si>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</si>
  <si>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</si>
  <si>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</si>
  <si>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</si>
  <si>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</si>
  <si>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</si>
  <si>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</si>
  <si>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</si>
  <si>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</si>
  <si>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</si>
  <si>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</si>
  <si>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</si>
  <si>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</si>
  <si>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</si>
  <si>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</si>
  <si>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</si>
  <si>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</si>
  <si>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</si>
  <si>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</si>
  <si>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</si>
  <si>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</si>
  <si>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86a</t>
  </si>
  <si>
    <t>Amortization of Abandoned Transmission Plant</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</si>
  <si>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</si>
  <si>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</si>
  <si>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</si>
  <si>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</si>
  <si>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</si>
  <si>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</si>
  <si>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</si>
  <si>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</si>
  <si>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</si>
  <si>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</si>
  <si>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</si>
  <si>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</si>
  <si>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</si>
  <si>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</si>
  <si>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</si>
  <si>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</si>
  <si>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</si>
  <si>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</si>
  <si>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</si>
  <si>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</si>
  <si>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</si>
  <si>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</si>
  <si>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</si>
  <si>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</si>
  <si>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</si>
  <si>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</si>
  <si>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</si>
  <si>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</si>
  <si>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</si>
  <si>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</si>
  <si>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</si>
  <si>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</si>
  <si>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</si>
  <si>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</si>
  <si>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</si>
  <si>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</si>
  <si>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</si>
  <si>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</si>
  <si>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</si>
  <si>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</si>
  <si>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</si>
  <si>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</si>
  <si>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</si>
  <si>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</si>
  <si>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</si>
  <si>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</si>
  <si>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</si>
  <si>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</si>
  <si>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</si>
  <si>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</si>
  <si>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</si>
  <si>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p</t>
  </si>
  <si>
    <t>(percent of federal income tax deductible for state purposes)</t>
  </si>
  <si>
    <t>Per State Tax Code</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</si>
  <si>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</si>
  <si>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</si>
  <si>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</si>
  <si>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</si>
  <si>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</si>
  <si>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</si>
  <si>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</si>
  <si>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</si>
  <si>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</si>
  <si>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</si>
  <si>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</si>
  <si>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</si>
  <si>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</si>
  <si>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</si>
  <si>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</si>
  <si>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</si>
  <si>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</si>
  <si>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</si>
  <si>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</si>
  <si>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</si>
  <si>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</si>
  <si>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</si>
  <si>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</si>
  <si>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</si>
  <si>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</si>
  <si>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</si>
  <si>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</si>
  <si>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</si>
  <si>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</si>
  <si>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</si>
  <si>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</si>
  <si>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</si>
  <si>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</si>
  <si>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</si>
  <si>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</si>
  <si>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</si>
  <si>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</si>
  <si>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</si>
  <si>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</si>
  <si>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</si>
  <si>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</si>
  <si>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</si>
  <si>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</si>
  <si>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</si>
  <si>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</si>
  <si>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</si>
  <si>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</si>
  <si>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</si>
  <si>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</si>
  <si>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</si>
  <si>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</si>
  <si>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</si>
  <si>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</si>
  <si>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</si>
  <si>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</si>
  <si>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</si>
  <si>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</si>
  <si>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</si>
  <si>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</si>
  <si>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</si>
  <si>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</si>
  <si>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</si>
  <si>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</si>
  <si>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</si>
  <si>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</si>
  <si>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</si>
  <si>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</si>
  <si>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</si>
  <si>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</si>
  <si>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</si>
  <si>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</si>
  <si>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</si>
  <si>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</si>
  <si>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</si>
  <si>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</si>
  <si>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</si>
  <si>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</si>
  <si>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</si>
  <si>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</si>
  <si>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</si>
  <si>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</si>
  <si>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</si>
  <si>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</si>
  <si>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</si>
  <si>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</si>
  <si>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</si>
  <si>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</si>
  <si>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</si>
  <si>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</si>
  <si>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</si>
  <si>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</si>
  <si>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</si>
  <si>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</si>
  <si>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</si>
  <si>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</si>
  <si>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</si>
  <si>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</si>
  <si>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</si>
  <si>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207.58.g minus 207.57.g.  Projected monthly balances that are the amounts expected to be included in 207.58.g for end of year and records for other months (Note I)</t>
  </si>
  <si>
    <t>207.99.g  minus 207.98.g for end of year, records for other months</t>
  </si>
  <si>
    <t>Electric Only, Form No 1, page 356 for end of year, records for other months</t>
  </si>
  <si>
    <t>Projected monthly balances that are expected to be included in 219.25.c for end of year and records for other months (Note I)</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</si>
  <si>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</si>
  <si>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</si>
  <si>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</si>
  <si>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</si>
  <si>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</si>
  <si>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</si>
  <si>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</si>
  <si>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</si>
  <si>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</si>
  <si>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</si>
  <si>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</si>
  <si>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</si>
  <si>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</si>
  <si>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</si>
  <si>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</si>
  <si>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</si>
  <si>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</si>
  <si>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</si>
  <si>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 B &amp; F</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</si>
  <si>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</si>
  <si>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</si>
  <si>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</si>
  <si>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</si>
  <si>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</si>
  <si>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</si>
  <si>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</si>
  <si>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</si>
  <si>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</si>
  <si>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</si>
  <si>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</si>
  <si>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</si>
  <si>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</si>
  <si>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</si>
  <si>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</si>
  <si>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</si>
  <si>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</si>
  <si>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</si>
  <si>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</si>
  <si>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</si>
  <si>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</si>
  <si>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</si>
  <si>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</si>
  <si>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</si>
  <si>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</si>
  <si>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</si>
  <si>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</si>
  <si>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</si>
  <si>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</si>
  <si>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Attachment H-9A, Line No:</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</si>
  <si>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</si>
  <si>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</si>
  <si>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</si>
  <si>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</si>
  <si>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</si>
  <si>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</si>
  <si>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</si>
  <si>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</si>
  <si>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</si>
  <si>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</si>
  <si>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</si>
  <si>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</si>
  <si>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</si>
  <si>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</si>
  <si>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</si>
  <si>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</si>
  <si>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</si>
  <si>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</si>
  <si>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</si>
  <si>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</si>
  <si>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</si>
  <si>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</si>
  <si>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</si>
  <si>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</si>
  <si>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</si>
  <si>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</si>
  <si>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</si>
  <si>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</si>
  <si>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</si>
  <si>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</si>
  <si>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</si>
  <si>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</si>
  <si>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</si>
  <si>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</si>
  <si>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</si>
  <si>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</si>
  <si>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</si>
  <si>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</si>
  <si>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</si>
  <si>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</si>
  <si>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</si>
  <si>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</si>
  <si>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</si>
  <si>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</si>
  <si>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</si>
  <si>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</si>
  <si>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</si>
  <si>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</si>
  <si>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</si>
  <si>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</si>
  <si>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</si>
  <si>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</si>
  <si>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</si>
  <si>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</si>
  <si>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</si>
  <si>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</si>
  <si>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</si>
  <si>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</si>
  <si>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</si>
  <si>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</si>
  <si>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</si>
  <si>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</si>
  <si>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</si>
  <si>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</si>
  <si>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</si>
  <si>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</si>
  <si>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</si>
  <si>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</si>
  <si>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</si>
  <si>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</si>
  <si>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</si>
  <si>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</si>
  <si>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</si>
  <si>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</si>
  <si>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</si>
  <si>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</si>
  <si>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</si>
  <si>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</si>
  <si>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</si>
  <si>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</si>
  <si>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</si>
  <si>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</si>
  <si>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</si>
  <si>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</si>
  <si>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</si>
  <si>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</si>
  <si>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</si>
  <si>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</si>
  <si>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</si>
  <si>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</si>
  <si>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</si>
  <si>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</si>
  <si>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</si>
  <si>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</si>
  <si>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</si>
  <si>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</si>
  <si>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</si>
  <si>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</si>
  <si>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</si>
  <si>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</si>
  <si>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</si>
  <si>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</si>
  <si>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</si>
  <si>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</si>
  <si>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</si>
  <si>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</si>
  <si>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</si>
  <si>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</si>
  <si>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</si>
  <si>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</si>
  <si>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</si>
  <si>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</si>
  <si>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</si>
  <si>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</si>
  <si>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</si>
  <si>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</si>
  <si>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</si>
  <si>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</si>
  <si>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</si>
  <si>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</si>
  <si>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</si>
  <si>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</si>
  <si>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</si>
  <si>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</si>
  <si>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</si>
  <si>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</si>
  <si>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</si>
  <si>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</si>
  <si>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</si>
  <si>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</si>
  <si>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</si>
  <si>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</si>
  <si>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</si>
  <si>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</si>
  <si>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</si>
  <si>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</si>
  <si>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</si>
  <si>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</si>
  <si>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</si>
  <si>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</si>
  <si>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</si>
  <si>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</si>
  <si>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</si>
  <si>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</si>
  <si>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</si>
  <si>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</si>
  <si>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</si>
  <si>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</si>
  <si>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</si>
  <si>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</si>
  <si>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</si>
  <si>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</si>
  <si>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</si>
  <si>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</si>
  <si>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</si>
  <si>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</si>
  <si>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</si>
  <si>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</si>
  <si>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</si>
  <si>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</si>
  <si>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</si>
  <si>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</si>
  <si>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</si>
  <si>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</si>
  <si>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</si>
  <si>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</si>
  <si>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</si>
  <si>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</si>
  <si>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</si>
  <si>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</si>
  <si>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</si>
  <si>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</si>
  <si>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</si>
  <si>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</si>
  <si>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</si>
  <si>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</si>
  <si>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To be completed in conjunction with Attachment H-9A.</t>
  </si>
  <si>
    <t>B0288</t>
  </si>
  <si>
    <t>B1125</t>
  </si>
  <si>
    <t>b2008</t>
  </si>
  <si>
    <t>B0319</t>
  </si>
  <si>
    <t>B0512.12</t>
  </si>
  <si>
    <t>B0496</t>
  </si>
  <si>
    <t>B0701.1</t>
  </si>
  <si>
    <t>B0526</t>
  </si>
  <si>
    <t>B0499</t>
  </si>
  <si>
    <t>B0478</t>
  </si>
  <si>
    <t>B0367.1/B0367.2</t>
  </si>
  <si>
    <t>B0512.7</t>
  </si>
  <si>
    <t>B0512.8</t>
  </si>
  <si>
    <t>B0512.9</t>
  </si>
  <si>
    <t>Brighton Sub</t>
  </si>
  <si>
    <t>Burches Hill 500/230 kV transformer - second 1000 MVA</t>
  </si>
  <si>
    <t>Reconductor Dickerson-Quince Orchard 230 kV</t>
  </si>
  <si>
    <t>Chalk Point 230 kV Breaker 1A</t>
  </si>
  <si>
    <t>Chalk Point 230 kV Breaker 1B</t>
  </si>
  <si>
    <t>Chalk Point 230 kV Breaker 2A</t>
  </si>
  <si>
    <t>Chalk Point 230 kV Breaker 3A</t>
  </si>
  <si>
    <t>Burches Hill-Palmer Cr Upgrade 23090, 91, 92, 93</t>
  </si>
  <si>
    <t>Burches Hill Sub:  Add 3rd 500/230kV</t>
  </si>
  <si>
    <t>Ritchie-Benning:  Install (2) 230kV Lines</t>
  </si>
  <si>
    <t>Benning Sub:  Add 3rd 230/69kV, 250MVA</t>
  </si>
  <si>
    <t>Convert Buzzard to Ritchie Line - 138kV to 230kV</t>
  </si>
  <si>
    <t>Reconductor feeder Dickerson to Quince Orchard</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</si>
  <si>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</si>
  <si>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</si>
  <si>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</si>
  <si>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</si>
  <si>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</si>
  <si>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</si>
  <si>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</si>
  <si>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</si>
  <si>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</si>
  <si>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</si>
  <si>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</si>
  <si>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</si>
  <si>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</si>
  <si>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</si>
  <si>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</si>
  <si>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</si>
  <si>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</si>
  <si>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</si>
  <si>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</si>
  <si>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</si>
  <si>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</si>
  <si>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</si>
  <si>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</si>
  <si>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</si>
  <si>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</si>
  <si>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</si>
  <si>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</si>
  <si>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</si>
  <si>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</si>
  <si>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</si>
  <si>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</si>
  <si>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All transmission facilities reflected in the revenue requirement on Attachment H-9A are to be included in this Attachment 6.</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</si>
  <si>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</si>
  <si>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</si>
  <si>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</si>
  <si>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</si>
  <si>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</si>
  <si>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</si>
  <si>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</si>
  <si>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</si>
  <si>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</si>
  <si>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</si>
  <si>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</si>
  <si>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</si>
  <si>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</si>
  <si>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</si>
  <si>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</si>
  <si>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</si>
  <si>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</si>
  <si>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</si>
  <si>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</si>
  <si>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</si>
  <si>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h</t>
  </si>
  <si>
    <t>Attachment 9, line 30, column f</t>
  </si>
  <si>
    <t>p227.6c &amp; 16.c (See Attachment 9, line 30, column e)</t>
  </si>
  <si>
    <t>Attachment 6A, line 4, column j</t>
  </si>
  <si>
    <t>Attachment H-9A</t>
  </si>
  <si>
    <t>Attachment 6A, Col. G + Col H</t>
  </si>
  <si>
    <t>Attach 9, line 16, column b</t>
  </si>
  <si>
    <t>Attach 9, line 16, column i</t>
  </si>
  <si>
    <t>Attach H-9A, line 85</t>
  </si>
  <si>
    <t>Attach H-9A, line 99</t>
  </si>
  <si>
    <t>Attach H-9A, line 138</t>
  </si>
  <si>
    <t>Attach H-9A, line 145</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</si>
  <si>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</si>
  <si>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</si>
  <si>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</si>
  <si>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</si>
  <si>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</si>
  <si>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</si>
  <si>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</si>
  <si>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</si>
  <si>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</si>
  <si>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</si>
  <si>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</si>
  <si>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</si>
  <si>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</si>
  <si>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</si>
  <si>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</si>
  <si>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</si>
  <si>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</si>
  <si>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</si>
  <si>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</si>
  <si>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</si>
  <si>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</si>
  <si>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</si>
  <si>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</si>
  <si>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</si>
  <si>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</si>
  <si>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</si>
  <si>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</si>
  <si>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</si>
  <si>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</si>
  <si>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</si>
  <si>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</si>
  <si>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</si>
  <si>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</si>
  <si>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</si>
  <si>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</si>
  <si>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</si>
  <si>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</si>
  <si>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</si>
  <si>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</si>
  <si>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</si>
  <si>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</si>
  <si>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</si>
  <si>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</si>
  <si>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</si>
  <si>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</si>
  <si>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</si>
  <si>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</si>
  <si>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</si>
  <si>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</si>
  <si>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</si>
  <si>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</si>
  <si>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</si>
  <si>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</si>
  <si>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</si>
  <si>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</si>
  <si>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</si>
  <si>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</si>
  <si>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</si>
  <si>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</si>
  <si>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</si>
  <si>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</si>
  <si>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Notes J</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</si>
  <si>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</si>
  <si>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</si>
  <si>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</si>
  <si>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</si>
  <si>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</si>
  <si>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</si>
  <si>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</si>
  <si>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</si>
  <si>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</si>
  <si>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</si>
  <si>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</si>
  <si>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</si>
  <si>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</si>
  <si>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</si>
  <si>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</si>
  <si>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</si>
  <si>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</si>
  <si>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</si>
  <si>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</si>
  <si>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</si>
  <si>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</si>
  <si>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</si>
  <si>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</si>
  <si>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</si>
  <si>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</si>
  <si>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</si>
  <si>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</si>
  <si>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 H-9A, line 86a plus line 91 plus line 96</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</si>
  <si>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</si>
  <si>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</si>
  <si>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</si>
  <si>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</si>
  <si>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</si>
  <si>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</si>
  <si>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</si>
  <si>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</si>
  <si>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</si>
  <si>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</si>
  <si>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</si>
  <si>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</si>
  <si>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</si>
  <si>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</si>
  <si>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</si>
  <si>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</si>
  <si>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</si>
  <si>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</si>
  <si>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</si>
  <si>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</si>
  <si>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</si>
  <si>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</si>
  <si>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</si>
  <si>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</si>
  <si>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</si>
  <si>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</si>
  <si>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</si>
  <si>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</si>
  <si>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</si>
  <si>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</si>
  <si>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</si>
  <si>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</si>
  <si>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</si>
  <si>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</si>
  <si>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</si>
  <si>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</si>
  <si>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</si>
  <si>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</si>
  <si>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</si>
  <si>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</si>
  <si>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</si>
  <si>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</si>
  <si>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</si>
  <si>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</si>
  <si>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</si>
  <si>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</si>
  <si>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</si>
  <si>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</si>
  <si>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</si>
  <si>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</si>
  <si>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</si>
  <si>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</si>
  <si>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</si>
  <si>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</si>
  <si>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</si>
  <si>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</si>
  <si>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</si>
  <si>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</si>
  <si>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</si>
  <si>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</si>
  <si>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</si>
  <si>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</si>
  <si>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</si>
  <si>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</si>
  <si>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</si>
  <si>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</si>
  <si>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</si>
  <si>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</si>
  <si>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</si>
  <si>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</si>
  <si>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</si>
  <si>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</si>
  <si>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</si>
  <si>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 xml:space="preserve">Allocation (Plant Allocator) </t>
  </si>
  <si>
    <t xml:space="preserve">Allocation (Labor Allocator) </t>
  </si>
  <si>
    <t xml:space="preserve">207.57.g.  Projected monthly balances that are the amounts expected to be included in 207.57.g for end of year and records for other months </t>
  </si>
  <si>
    <t>207.58.g. Projected monthly balances that are the amounts expected to be included in 207.58.g for end of year and records for other months (Note I)</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</si>
  <si>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</si>
  <si>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</si>
  <si>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</si>
  <si>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</si>
  <si>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</si>
  <si>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</si>
  <si>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</si>
  <si>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</si>
  <si>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</si>
  <si>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</si>
  <si>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</si>
  <si>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</si>
  <si>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</si>
  <si>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</si>
  <si>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</si>
  <si>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</si>
  <si>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</si>
  <si>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</si>
  <si>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</si>
  <si>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</si>
  <si>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</si>
  <si>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</si>
  <si>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</si>
  <si>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</si>
  <si>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</si>
  <si>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</si>
  <si>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</si>
  <si>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</si>
  <si>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</si>
  <si>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</si>
  <si>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</si>
  <si>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</si>
  <si>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</si>
  <si>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</si>
  <si>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</si>
  <si>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</si>
  <si>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</si>
  <si>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</si>
  <si>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</si>
  <si>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</si>
  <si>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</si>
  <si>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</si>
  <si>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</si>
  <si>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</si>
  <si>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</si>
  <si>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</si>
  <si>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</si>
  <si>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</si>
  <si>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From Attachment 5, line 45 column F for the end of year balance and records for other months.</t>
  </si>
  <si>
    <t>Attachment 10, line 9, column b</t>
  </si>
  <si>
    <t xml:space="preserve">  Prepayments related to Transmission Personal Property Tax.  See "Prop taxes to function" worksheet for total Transmission assessible plant factor (total transmission property taxes/total property taxes).</t>
  </si>
  <si>
    <t>Abandoned Transmission Plant</t>
  </si>
  <si>
    <t>Monthly Amortization</t>
  </si>
  <si>
    <t>Brighton Sub: Upgrade T1 500/230kv Transformer</t>
  </si>
  <si>
    <t>TO calculates Reconciliation Revenues for Year 1 (e.g. 2018) by populating template with Year 1 actuals.</t>
  </si>
  <si>
    <t>TO calculates NITS revenues, net of true-ups, received in calendar Year 1 (e.g., 2018)</t>
  </si>
  <si>
    <t>Attach H-9A, line 154</t>
  </si>
  <si>
    <t>Plant Related Exclusions - Cost Support</t>
  </si>
  <si>
    <t>Attachment A Line #s, Descriptions, Notes, Form 1 Pages #s and Instructions</t>
  </si>
  <si>
    <t>Form 1 Amounts</t>
  </si>
  <si>
    <t>Capital Leases</t>
  </si>
  <si>
    <t>p207.104g</t>
  </si>
  <si>
    <t>p219.29c</t>
  </si>
  <si>
    <t>p200.21c</t>
  </si>
  <si>
    <t>p207.58.g</t>
  </si>
  <si>
    <t xml:space="preserve">Transmission Capital Lease included Acct 352-$76,000,000 </t>
  </si>
  <si>
    <t>p205.5.g &amp; p207.99.g</t>
  </si>
  <si>
    <t xml:space="preserve">Accumulated General Depreciation </t>
  </si>
  <si>
    <t>p219.28c</t>
  </si>
  <si>
    <t>p321.112.b</t>
  </si>
  <si>
    <t>Rents</t>
  </si>
  <si>
    <t>Property Insurance</t>
  </si>
  <si>
    <t>Exclude State Dist RA amort in line 6</t>
  </si>
  <si>
    <t xml:space="preserve">Expense Related Exclusions - Cost Support </t>
  </si>
  <si>
    <t>Total 
Form 1 Amount</t>
  </si>
  <si>
    <t>State Approved Distribution Reg Asset Amortization</t>
  </si>
  <si>
    <t>Membership Dues in 923
current rate year</t>
  </si>
  <si>
    <t>Total Amount After Exclusion</t>
  </si>
  <si>
    <t>Total: p.323.197.b</t>
  </si>
  <si>
    <t>Other Income Tax Adjustment</t>
  </si>
  <si>
    <t>136a</t>
  </si>
  <si>
    <t>(Note T)</t>
  </si>
  <si>
    <t>136b</t>
  </si>
  <si>
    <t>136c</t>
  </si>
  <si>
    <t>Apportioned: MD 5.10%, DC 3.20%</t>
  </si>
  <si>
    <t>Transmission Related Account Reserves</t>
  </si>
  <si>
    <t>Total Balance Transmission Related Account Reserves</t>
  </si>
  <si>
    <t>Attachment 11A, line 27, column c</t>
  </si>
  <si>
    <t>Attachment 11B, line 15, column a</t>
  </si>
  <si>
    <t>(Note X)</t>
  </si>
  <si>
    <t>(Note V)</t>
  </si>
  <si>
    <t>(Note W)</t>
  </si>
  <si>
    <t>V</t>
  </si>
  <si>
    <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t>
  </si>
  <si>
    <t>W</t>
  </si>
  <si>
    <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t>
  </si>
  <si>
    <t>X</t>
  </si>
  <si>
    <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</si>
  <si>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</si>
  <si>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</si>
  <si>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</si>
  <si>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</si>
  <si>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</si>
  <si>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</si>
  <si>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</si>
  <si>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</si>
  <si>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</si>
  <si>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</si>
  <si>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</si>
  <si>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</si>
  <si>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</si>
  <si>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</si>
  <si>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</si>
  <si>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</si>
  <si>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</si>
  <si>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</si>
  <si>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</si>
  <si>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</si>
  <si>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</si>
  <si>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</si>
  <si>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</si>
  <si>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</si>
  <si>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</si>
  <si>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 xml:space="preserve">End of Year December </t>
  </si>
  <si>
    <t>Pension Liabilities, if any</t>
  </si>
  <si>
    <t>See Description.</t>
  </si>
  <si>
    <t xml:space="preserve">Prepayments Monthly Balance </t>
  </si>
  <si>
    <t>p.111, l.57</t>
  </si>
  <si>
    <t xml:space="preserve">The December beginning year and end of year balances shall tie to Pepco’s FERC Form 1, Page 111, Line 57 – Prepayments. For the months of January through November, the prepayment balances shall represent actual balances on Pepco’s books and records </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</si>
  <si>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</si>
  <si>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</si>
  <si>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</si>
  <si>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</si>
  <si>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</si>
  <si>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</si>
  <si>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</si>
  <si>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</si>
  <si>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</si>
  <si>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</si>
  <si>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</si>
  <si>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</si>
  <si>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</si>
  <si>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</si>
  <si>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</si>
  <si>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</si>
  <si>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</si>
  <si>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</si>
  <si>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Other Accrued Incentive Plans including but not limited to Savings and 401-k matching</t>
  </si>
  <si>
    <t>Accrued Environmental Expenses</t>
  </si>
  <si>
    <t>Transmission Related Account Reserves Monthly Balance</t>
  </si>
  <si>
    <t>Attachment H-9A, Line 44</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</si>
  <si>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</si>
  <si>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</si>
  <si>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</si>
  <si>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</si>
  <si>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</si>
  <si>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</si>
  <si>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</si>
  <si>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</si>
  <si>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</si>
  <si>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</si>
  <si>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</si>
  <si>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</si>
  <si>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</si>
  <si>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</si>
  <si>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</si>
  <si>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</si>
  <si>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</si>
  <si>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</si>
  <si>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</si>
  <si>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</si>
  <si>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</si>
  <si>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</si>
  <si>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</si>
  <si>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</si>
  <si>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</si>
  <si>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</si>
  <si>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</si>
  <si>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</si>
  <si>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</si>
  <si>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</si>
  <si>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</si>
  <si>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</si>
  <si>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</si>
  <si>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</si>
  <si>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</si>
  <si>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</si>
  <si>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</si>
  <si>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</si>
  <si>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</si>
  <si>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</si>
  <si>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</si>
  <si>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</si>
  <si>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</si>
  <si>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</si>
  <si>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</si>
  <si>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</si>
  <si>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</si>
  <si>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</si>
  <si>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</si>
  <si>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</si>
  <si>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</si>
  <si>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</si>
  <si>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</si>
  <si>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</si>
  <si>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</si>
  <si>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</si>
  <si>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</si>
  <si>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Land and Land Rights</t>
  </si>
  <si>
    <t>Structures and Improvements</t>
  </si>
  <si>
    <t>Station Equipment</t>
  </si>
  <si>
    <t>Towers and Fixtures</t>
  </si>
  <si>
    <t>Poles and Fixtures</t>
  </si>
  <si>
    <t>Overhead Conductors and Devices</t>
  </si>
  <si>
    <t>Underground Conduit</t>
  </si>
  <si>
    <t>Underground Conductors and Devices</t>
  </si>
  <si>
    <t>Roads and Trails</t>
  </si>
  <si>
    <t>Electric General</t>
  </si>
  <si>
    <t>390 - DC</t>
  </si>
  <si>
    <t>390 - MD</t>
  </si>
  <si>
    <t>390 - SMECO</t>
  </si>
  <si>
    <t>391.1 - ALLOCABLE</t>
  </si>
  <si>
    <t>Office Furniture and Equipment</t>
  </si>
  <si>
    <t>391.1 - DC</t>
  </si>
  <si>
    <t>391.1 - MD</t>
  </si>
  <si>
    <t>391.3 - ALLOCABLE</t>
  </si>
  <si>
    <t>391.3 - DC</t>
  </si>
  <si>
    <t>391.3 - MD</t>
  </si>
  <si>
    <t>393 - DC</t>
  </si>
  <si>
    <t>Stores Equipment</t>
  </si>
  <si>
    <t>393 - MD</t>
  </si>
  <si>
    <t>394 - DC</t>
  </si>
  <si>
    <t>Tools, Shop, Garage Equipment</t>
  </si>
  <si>
    <t>394 - MD</t>
  </si>
  <si>
    <t>395 - DC</t>
  </si>
  <si>
    <t xml:space="preserve">Laboratory Equipment </t>
  </si>
  <si>
    <t>395 - MD</t>
  </si>
  <si>
    <t>396 - ALLOCABLE</t>
  </si>
  <si>
    <t>Power Operated Equipment</t>
  </si>
  <si>
    <t>397 - ALLOCABLE</t>
  </si>
  <si>
    <t>Communication Equipment</t>
  </si>
  <si>
    <t>397 - MD</t>
  </si>
  <si>
    <t>397 - SMECO</t>
  </si>
  <si>
    <t>397.1 - ALLOCABLE</t>
  </si>
  <si>
    <t>397.3 - DC</t>
  </si>
  <si>
    <t>397.3 - MD</t>
  </si>
  <si>
    <t>398 - DC</t>
  </si>
  <si>
    <t>Miscellaneous Equipment</t>
  </si>
  <si>
    <t>398 - MD</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</si>
  <si>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</si>
  <si>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</si>
  <si>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</si>
  <si>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</si>
  <si>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</si>
  <si>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</si>
  <si>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</si>
  <si>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</si>
  <si>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</si>
  <si>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</si>
  <si>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</si>
  <si>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</si>
  <si>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</si>
  <si>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</si>
  <si>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</si>
  <si>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</si>
  <si>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</si>
  <si>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</si>
  <si>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</si>
  <si>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</si>
  <si>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</si>
  <si>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</si>
  <si>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</si>
  <si>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 xml:space="preserve">Other Prepayments </t>
  </si>
  <si>
    <t>Prepaid Taxes</t>
  </si>
  <si>
    <t>Postage</t>
  </si>
  <si>
    <t>Various</t>
  </si>
  <si>
    <t>Pepco capital structure is derived from gross debt.</t>
  </si>
  <si>
    <t>397.1 - DC</t>
  </si>
  <si>
    <t>397.2 - MD</t>
  </si>
  <si>
    <t>2-year plant</t>
  </si>
  <si>
    <t xml:space="preserve">    Less Accumulated Depreciation Associated with Facilities with Outstanding Network Credits (Enter as negative)</t>
  </si>
  <si>
    <t>Wages &amp; Salary</t>
  </si>
  <si>
    <t>68c</t>
  </si>
  <si>
    <t xml:space="preserve">    Less Other</t>
  </si>
  <si>
    <t>Support Services</t>
  </si>
  <si>
    <t>Financial Services</t>
  </si>
  <si>
    <t>Communication Services</t>
  </si>
  <si>
    <t>Regulatory Services</t>
  </si>
  <si>
    <t>Regulated Electric and Gas Operation Services</t>
  </si>
  <si>
    <t>Supply Services</t>
  </si>
  <si>
    <t>BSC Commercial Operations Grp</t>
  </si>
  <si>
    <t>BSC Communications</t>
  </si>
  <si>
    <t>BSC Corp Development</t>
  </si>
  <si>
    <t>BSC Corp Secretary</t>
  </si>
  <si>
    <t>BSC Corp Strategy</t>
  </si>
  <si>
    <t>BSC Corporate SLA</t>
  </si>
  <si>
    <t>BSC Executive Services</t>
  </si>
  <si>
    <t>BSC Exelon Transmission Co</t>
  </si>
  <si>
    <t>BSC Exelon Utilities</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</si>
  <si>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</si>
  <si>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</si>
  <si>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</si>
  <si>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</si>
  <si>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</si>
  <si>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</si>
  <si>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</si>
  <si>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</si>
  <si>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</si>
  <si>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</si>
  <si>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</si>
  <si>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 xml:space="preserve">  Federal highway use tax</t>
  </si>
  <si>
    <t>Attachment 1A - ADIT Summary, Line 23</t>
  </si>
  <si>
    <t>Attachment 1A - ADIT Summary, Line 46</t>
  </si>
  <si>
    <t>Account No. 282 (ADIT - Other Property)</t>
  </si>
  <si>
    <t>Attachment 1A - ADIT Summary, Line 69</t>
  </si>
  <si>
    <t>Attachment 1A - ADIT Summary, Line 92</t>
  </si>
  <si>
    <t>40e</t>
  </si>
  <si>
    <t>(Note U)</t>
  </si>
  <si>
    <t>Attachment 1A - ADIT Summary, Line 115</t>
  </si>
  <si>
    <t>40f</t>
  </si>
  <si>
    <t>(Line 40a + 40b + 40c + 40d + 40e)</t>
  </si>
  <si>
    <t>Unamortized Excess / Deficient ADIT</t>
  </si>
  <si>
    <t>41a</t>
  </si>
  <si>
    <t xml:space="preserve">Unamortized Deficient / (Excess) ADIT - Federal </t>
  </si>
  <si>
    <t>Attachment 1D - ADIT Rate Base Adjustment, Line 73</t>
  </si>
  <si>
    <t>41b</t>
  </si>
  <si>
    <t>Unamortized Deficient / (Excess) ADIT - State</t>
  </si>
  <si>
    <t>Attachment 1D - ADIT Rate Base Adjustment, Line 146</t>
  </si>
  <si>
    <t xml:space="preserve">Unamortized Deficient / (Excess) ADIT Allocated to Transmission </t>
  </si>
  <si>
    <t>(Line 41a + 41b)</t>
  </si>
  <si>
    <t>Adjusted Accumulated Deferred Income Taxes Allocated To Transmission</t>
  </si>
  <si>
    <t>(Line 40f + 42)</t>
  </si>
  <si>
    <t>(Note AA)</t>
  </si>
  <si>
    <t>(Note Z)</t>
  </si>
  <si>
    <t>Attachment 1B - ADIT EOY, Line 7</t>
  </si>
  <si>
    <t>132a</t>
  </si>
  <si>
    <t>132b</t>
  </si>
  <si>
    <t xml:space="preserve">Tax Gross-Up Factor </t>
  </si>
  <si>
    <t>1*1/(1-T)</t>
  </si>
  <si>
    <t>Attachment 1B - ADIT EOY</t>
  </si>
  <si>
    <t xml:space="preserve">Investment Tax Credit Amortization </t>
  </si>
  <si>
    <t>1/(1-T)</t>
  </si>
  <si>
    <t>Tax Adjustment for AFUDC Equity Component of Transmission Depreciation Expense</t>
  </si>
  <si>
    <t>Attachment 5, Line 136b</t>
  </si>
  <si>
    <t>Amortization Deficient / (Excess) Deferred Taxes (Federal) - Transmission Component</t>
  </si>
  <si>
    <t>Attachment 5, Line 136c</t>
  </si>
  <si>
    <t>136d</t>
  </si>
  <si>
    <t>Amortization Deficient / (Excess) Deferred Taxes (State) - Transmission Component</t>
  </si>
  <si>
    <t>Attachment 5, Line 136d</t>
  </si>
  <si>
    <t>136e</t>
  </si>
  <si>
    <t>Amortization of Other Flow-Through Items - Transmission Component</t>
  </si>
  <si>
    <t>136f</t>
  </si>
  <si>
    <t>Other Income Tax Adjustments - Expense / (Benefit)</t>
  </si>
  <si>
    <t>136g</t>
  </si>
  <si>
    <t>(Line 132b)</t>
  </si>
  <si>
    <t>See Attachment 5 - Cost Support, section entitled "Other Income Tax Adjustment" for additional information.</t>
  </si>
  <si>
    <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</si>
  <si>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</si>
  <si>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</si>
  <si>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</si>
  <si>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</si>
  <si>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(Note I from ATT H-9A)</t>
  </si>
  <si>
    <t>(Note U from ATT H-9A)</t>
  </si>
  <si>
    <t>Attachment 1A - ADIT</t>
  </si>
  <si>
    <t>(Note T from ATT H-9A)</t>
  </si>
  <si>
    <t>Amortization Excess / Deficient Deferred Taxes (Federal) - Transmission Component</t>
  </si>
  <si>
    <t>Amortization Excess / Deficient Deferred Taxes (State) - Transmission Component</t>
  </si>
  <si>
    <t>Leased Asset ROU-Op -Building</t>
  </si>
  <si>
    <t>Prepaid Gross Receipts Tax</t>
  </si>
  <si>
    <t>Gross Plant In Service</t>
  </si>
  <si>
    <t>Accumulated Amortization</t>
  </si>
  <si>
    <t>Net Plant In Service</t>
  </si>
  <si>
    <t>Affiliate Credits</t>
  </si>
  <si>
    <t>Attachment 5, Line 136a</t>
  </si>
  <si>
    <t>(Line 135 + 136g +137)</t>
  </si>
  <si>
    <t>Investment Tax Credit Amortization</t>
  </si>
  <si>
    <t>Tax Gross-Up Factor</t>
  </si>
  <si>
    <t>(Line 133 * 134)</t>
  </si>
  <si>
    <t>(Line 136a + 136b + 136c + 136d)</t>
  </si>
  <si>
    <t>(Line 136e * 136f)</t>
  </si>
  <si>
    <t>(Line 108 / (108+114+115))</t>
  </si>
  <si>
    <t>(Line 114 / (108+114+115))</t>
  </si>
  <si>
    <t>(Line 115 / (108+114+115))</t>
  </si>
  <si>
    <t>(Line 132a * 127 * (1-(123 / 126)))</t>
  </si>
  <si>
    <t>Excluded</t>
  </si>
  <si>
    <t>Description</t>
  </si>
  <si>
    <t>Amortization in Rate Year</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</si>
  <si>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</si>
  <si>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</si>
  <si>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</si>
  <si>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</si>
  <si>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</si>
  <si>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</si>
  <si>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</si>
  <si>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</si>
  <si>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</si>
  <si>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Only the transmission portion of amounts reported at Form 1, page 227, line 5 is used.  The transmission portion is derived by applying the wages and salary allocator to the total of line 5 and is specified in a footnote to the Form 1, page 227.</t>
  </si>
  <si>
    <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</si>
  <si>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</si>
  <si>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b0467.1 Reconductor the Dickerson - Pleasant View 230kV circuit</t>
  </si>
  <si>
    <t>b1126 Upgrade the 230kV line from Buzzard 016 - Ritchie 059</t>
  </si>
  <si>
    <t>b1596 Reconductor the Dickerson station “H” – Quince Orchard 230 kV ‘23032’ circuit and upgrade terminal equipment at Dickerson station “H” and Quince Orchard 230 kV substations</t>
  </si>
  <si>
    <t xml:space="preserve">b0467.1 </t>
  </si>
  <si>
    <t xml:space="preserve">b1126 </t>
  </si>
  <si>
    <t>b1596</t>
  </si>
  <si>
    <t>Reconductor the Dickerson - Pleasant View 230kV circuit</t>
  </si>
  <si>
    <t>Upgrade the 230kV line from Buzzard 016 - Ritchie 059</t>
  </si>
  <si>
    <t xml:space="preserve">Reconductor the Dickerson station “H” – Quince Orchard 230 kV </t>
  </si>
  <si>
    <t>21q</t>
  </si>
  <si>
    <t>Accrued Retention</t>
  </si>
  <si>
    <t xml:space="preserve">Severance Liability </t>
  </si>
  <si>
    <t>Other Income Tax Adjustments</t>
  </si>
  <si>
    <t>Tax Rate from</t>
  </si>
  <si>
    <t>Component Descriptions</t>
  </si>
  <si>
    <t>Instruction References</t>
  </si>
  <si>
    <t>Expense Amount</t>
  </si>
  <si>
    <t>Attachment H-9A, Line 131</t>
  </si>
  <si>
    <t>Amount to Line 136f</t>
  </si>
  <si>
    <t>Instr. 1, 2, 3 below</t>
  </si>
  <si>
    <t>=</t>
  </si>
  <si>
    <t>Amortization of Excess/Deficient Deferred Taxes - Transmission Component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</si>
  <si>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</si>
  <si>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</si>
  <si>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</si>
  <si>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</si>
  <si>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</si>
  <si>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</si>
  <si>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</si>
  <si>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</si>
  <si>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</si>
  <si>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</si>
  <si>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</si>
  <si>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</si>
  <si>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</si>
  <si>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</si>
  <si>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</si>
  <si>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</si>
  <si>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</si>
  <si>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</si>
  <si>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227. 8. c + 227.5.c (see Att H-9A Note AA) for end of year, records for other months</t>
  </si>
  <si>
    <t>Transmission Expenses - Total (Sum of lines 1-25)</t>
  </si>
  <si>
    <t>COLI Related Prepayment</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</si>
  <si>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</si>
  <si>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</si>
  <si>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</si>
  <si>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</si>
  <si>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</si>
  <si>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</si>
  <si>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</si>
  <si>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</si>
  <si>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</si>
  <si>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</si>
  <si>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</si>
  <si>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</si>
  <si>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</si>
  <si>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</si>
  <si>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</si>
  <si>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</si>
  <si>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</si>
  <si>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</si>
  <si>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</si>
  <si>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</si>
  <si>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</si>
  <si>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</si>
  <si>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</si>
  <si>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</si>
  <si>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</si>
  <si>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</si>
  <si>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Amount for Attachment H-9A, Line 40a</t>
  </si>
  <si>
    <t>Accumulated Deferred Income Taxes - Accelerated Amortization (Account No. 281)</t>
  </si>
  <si>
    <t>Amount for Attachment H-9A, Line 40b</t>
  </si>
  <si>
    <t>Amount for Attachment H-9A, Line 40c</t>
  </si>
  <si>
    <t>Amount for Attachment H-9A, Line 40d</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</si>
  <si>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</si>
  <si>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</si>
  <si>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</si>
  <si>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</si>
  <si>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</si>
  <si>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</si>
  <si>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</si>
  <si>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</si>
  <si>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</si>
  <si>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</si>
  <si>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</si>
  <si>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Amount for Attachment H-9A, Line 40e</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</si>
  <si>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</si>
  <si>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</si>
  <si>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</si>
  <si>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</si>
  <si>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</si>
  <si>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</si>
  <si>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</si>
  <si>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</si>
  <si>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</si>
  <si>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</si>
  <si>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</si>
  <si>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</si>
  <si>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</si>
  <si>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</si>
  <si>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</si>
  <si>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</si>
  <si>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</si>
  <si>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</si>
  <si>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</si>
  <si>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</si>
  <si>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</si>
  <si>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</si>
  <si>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</si>
  <si>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</si>
  <si>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</si>
  <si>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</si>
  <si>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</si>
  <si>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</si>
  <si>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</si>
  <si>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</si>
  <si>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</si>
  <si>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</si>
  <si>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</si>
  <si>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</si>
  <si>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</si>
  <si>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</si>
  <si>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</si>
  <si>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</si>
  <si>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</si>
  <si>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</si>
  <si>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</si>
  <si>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</si>
  <si>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</si>
  <si>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</si>
  <si>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</si>
  <si>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</si>
  <si>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</si>
  <si>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</si>
  <si>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</si>
  <si>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</si>
  <si>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</si>
  <si>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</si>
  <si>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</si>
  <si>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</si>
  <si>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</si>
  <si>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</si>
  <si>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</si>
  <si>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</si>
  <si>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</si>
  <si>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</si>
  <si>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</si>
  <si>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</si>
  <si>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</si>
  <si>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</si>
  <si>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</si>
  <si>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</si>
  <si>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</si>
  <si>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</si>
  <si>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</si>
  <si>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</si>
  <si>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</si>
  <si>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</si>
  <si>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</si>
  <si>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</si>
  <si>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</si>
  <si>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</si>
  <si>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</si>
  <si>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</si>
  <si>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</si>
  <si>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</si>
  <si>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</si>
  <si>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</si>
  <si>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</si>
  <si>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</si>
  <si>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ATT H-9A, Line 132b</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</si>
  <si>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</si>
  <si>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</si>
  <si>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</si>
  <si>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</si>
  <si>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</si>
  <si>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</si>
  <si>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Maryland (2018 Apportionment Weighting Change)</t>
  </si>
  <si>
    <t>NA</t>
  </si>
  <si>
    <t>Washington, D.C. (2018 Apportionment Weighting Change)</t>
  </si>
  <si>
    <t>Washington, D.C. (2017 Corporate Rate Change)</t>
  </si>
  <si>
    <t>Washington, D.C. (2016 Corporate Rate Change)</t>
  </si>
  <si>
    <t>Washington, D.C. (2015 Corporate Rate Change)</t>
  </si>
  <si>
    <t>Maryland (2007 Corporate Rate Change)</t>
  </si>
  <si>
    <t>(Note H)</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</si>
  <si>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</si>
  <si>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</si>
  <si>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</si>
  <si>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</si>
  <si>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</si>
  <si>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</si>
  <si>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</si>
  <si>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</si>
  <si>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</si>
  <si>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t>
  </si>
  <si>
    <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</si>
  <si>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</si>
  <si>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</si>
  <si>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</si>
  <si>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</si>
  <si>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t>
  </si>
  <si>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</si>
  <si>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</si>
  <si>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</si>
  <si>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</si>
  <si>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</si>
  <si>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</si>
  <si>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</si>
  <si>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</si>
  <si>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</si>
  <si>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</si>
  <si>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</si>
  <si>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</si>
  <si>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</si>
  <si>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</si>
  <si>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</si>
  <si>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</si>
  <si>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</si>
  <si>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</si>
  <si>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1"/>
        <color rgb="FF0070C0"/>
        <rFont val="Arial"/>
        <family val="2"/>
      </rPr>
      <t>Note B</t>
    </r>
    <r>
      <rPr>
        <b/>
        <sz val="11"/>
        <color theme="1"/>
        <rFont val="Arial"/>
        <family val="2"/>
      </rPr>
      <t>)</t>
    </r>
  </si>
  <si>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</si>
  <si>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</si>
  <si>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</si>
  <si>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</si>
  <si>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</si>
  <si>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</si>
  <si>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</si>
  <si>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</si>
  <si>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</si>
  <si>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</si>
  <si>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</si>
  <si>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</si>
  <si>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</si>
  <si>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</si>
  <si>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</si>
  <si>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</si>
  <si>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</si>
  <si>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r>
      <t>FERC Account 190 - Non-Current (</t>
    </r>
    <r>
      <rPr>
        <b/>
        <u/>
        <sz val="11"/>
        <color rgb="FF0070C0"/>
        <rFont val="Arial"/>
        <family val="2"/>
      </rPr>
      <t>Note A</t>
    </r>
    <r>
      <rPr>
        <b/>
        <u/>
        <sz val="11"/>
        <color theme="1"/>
        <rFont val="Arial"/>
        <family val="2"/>
      </rPr>
      <t>)</t>
    </r>
  </si>
  <si>
    <t>Accrued Payroll Taxes - Manual</t>
  </si>
  <si>
    <t>Non-Property</t>
  </si>
  <si>
    <t>Other Current Liabilities - General</t>
  </si>
  <si>
    <t>100% DC</t>
  </si>
  <si>
    <t>Accrued Liab-Required Health Claims Reserve</t>
  </si>
  <si>
    <t>Accrued Liab-General Liability</t>
  </si>
  <si>
    <t>Accrued Liab-Auto Liability</t>
  </si>
  <si>
    <t>Accrued Liabilities - Workers Comp - Long-term</t>
  </si>
  <si>
    <t>Accrued Liabilities - Disability - Long-term</t>
  </si>
  <si>
    <t>Accrued Liab-LTIP</t>
  </si>
  <si>
    <t>Accrued Liability - PHI Incentive Plan</t>
  </si>
  <si>
    <t>Accrued Liab-Retentions</t>
  </si>
  <si>
    <t>Accrued Severance</t>
  </si>
  <si>
    <t>Accrued Liab-SERP</t>
  </si>
  <si>
    <t>Accrued Liab-Sick Pay Carryover</t>
  </si>
  <si>
    <t>Accrued Liab-Vacation</t>
  </si>
  <si>
    <t>Deferred Credits-General</t>
  </si>
  <si>
    <t>Deferred Credits-General (Merger Commitments)</t>
  </si>
  <si>
    <t>Deferred Credits-General (DC PLUG)</t>
  </si>
  <si>
    <t>Accrued Liability - LTIP - Non-Current</t>
  </si>
  <si>
    <t>Payroll Taxes 481(a)</t>
  </si>
  <si>
    <t>Provision for Uncollectible Accounts-Spec Billing</t>
  </si>
  <si>
    <t>Provision for Uncollectible Accounts - MD</t>
  </si>
  <si>
    <t>100% MD</t>
  </si>
  <si>
    <t>Provision for Uncollectible Accounts - DC Retail</t>
  </si>
  <si>
    <t>Provision for Uncollectible POR - Pepco DC</t>
  </si>
  <si>
    <t>Provision for Uncollectible POR - Pepco MD</t>
  </si>
  <si>
    <t>Maryland Capital Loss Carryforward</t>
  </si>
  <si>
    <t>DC Capital Loss Carryforward</t>
  </si>
  <si>
    <t>Federal Charitable Contribution Carryforward</t>
  </si>
  <si>
    <t>Charitable Contribution Carryforward</t>
  </si>
  <si>
    <t>Maryland Charitable Contribution Carryforward</t>
  </si>
  <si>
    <t>DC Charitable Contribution Carryforward</t>
  </si>
  <si>
    <t>Acc Liab - Deferred Comp LT -Old Plans</t>
  </si>
  <si>
    <t>Acc Liab - Deferred Comp LT - Active Plans</t>
  </si>
  <si>
    <t>Other Special Funds-Deferred Comp</t>
  </si>
  <si>
    <t>Accrued Liab-Environmental Site Exp - Long-Term</t>
  </si>
  <si>
    <t>Accrued Liab-OPEB</t>
  </si>
  <si>
    <t>FIN 48 Interest Payable-MD-NonCurrent</t>
  </si>
  <si>
    <t>Accrued Charitable Contributions-MD-Current</t>
  </si>
  <si>
    <t>Accrued Charitable Contributions-DC-Current</t>
  </si>
  <si>
    <t>Merger Commitments</t>
  </si>
  <si>
    <t>Accrued Charitable Contributions-MD-Non-Current</t>
  </si>
  <si>
    <t>Accrued Charitable Contributions-DC-Non-Current</t>
  </si>
  <si>
    <t>Use Tax Payable-DC</t>
  </si>
  <si>
    <t>Other Long-Term Liabilities</t>
  </si>
  <si>
    <t>Federal State Income Taxes Deductible</t>
  </si>
  <si>
    <t>Maryland 1/1/2000 Basis Carryforward</t>
  </si>
  <si>
    <t>Plant</t>
  </si>
  <si>
    <t>Asset Retirement Obligation-Electric Utility Plant</t>
  </si>
  <si>
    <t>Other Regulatory Liability - General</t>
  </si>
  <si>
    <t>Oth Reg Liab-Asset Retirement Obligation-Electric</t>
  </si>
  <si>
    <t>Reg Liab-Asset Retirement Oblig-Electric-Contra</t>
  </si>
  <si>
    <t>Regulatory Liability-MD Grid Resiliency Charge</t>
  </si>
  <si>
    <t>Reg Liab-MD Dynamic Pricing/Critical Pk Rebate Cr</t>
  </si>
  <si>
    <t>Regulatory Liability - MD - Base</t>
  </si>
  <si>
    <t>Reg Liab-Third Party Supplier-DC Distribution</t>
  </si>
  <si>
    <t>Maryland Net Operating Loss Carryforward</t>
  </si>
  <si>
    <t>State NOL</t>
  </si>
  <si>
    <t>DC Net Operating Loss Carryforward</t>
  </si>
  <si>
    <t>Federal Net Operating Loss Carryforward</t>
  </si>
  <si>
    <t>Federal NOL</t>
  </si>
  <si>
    <t>Unamortized Investment Tax Credits</t>
  </si>
  <si>
    <t>Other Reg Assets - Income Tax Recov thru Rates</t>
  </si>
  <si>
    <t>FAS109 Non-TCJA</t>
  </si>
  <si>
    <t>N/A</t>
  </si>
  <si>
    <t>FAS 109 - Regulatory Asset Electric</t>
  </si>
  <si>
    <t>SFAS109-Regulatory Liability Electric</t>
  </si>
  <si>
    <t>FAS109 TCJA</t>
  </si>
  <si>
    <t>Total FERC Account 190</t>
  </si>
  <si>
    <r>
      <t>FERC Account 282 - Property (</t>
    </r>
    <r>
      <rPr>
        <b/>
        <u/>
        <sz val="11"/>
        <color rgb="FF0070C0"/>
        <rFont val="Arial"/>
        <family val="2"/>
      </rPr>
      <t>Note A</t>
    </r>
    <r>
      <rPr>
        <b/>
        <u/>
        <sz val="11"/>
        <color theme="1"/>
        <rFont val="Arial"/>
        <family val="2"/>
      </rPr>
      <t>)</t>
    </r>
  </si>
  <si>
    <t>Fixed Asset Basis Differences (PowerTax) - Protected</t>
  </si>
  <si>
    <t>Protected Property (PowerTax)</t>
  </si>
  <si>
    <t>Fixed Asset Basis Differences (PowerTax) - Non-Protected</t>
  </si>
  <si>
    <t>Non-Protected Property (PowerTax)</t>
  </si>
  <si>
    <t>Fixed Asset Basis Differences (PowerTax) - Non-Protected CIAC</t>
  </si>
  <si>
    <t>Fixed Asset Basis Differences (PowerTax FT) - Non-Protected</t>
  </si>
  <si>
    <t>Maryland Fixed Asset Differences (PowerTax) - Non-Protected</t>
  </si>
  <si>
    <t>Maryland Fixed Asset Differences (PowerTax) - Non-Protected CIAC</t>
  </si>
  <si>
    <t>Maryland Fixed Asset Differences (PowerTax FT) - Non-Protected</t>
  </si>
  <si>
    <t>Maryland Fixed Asset Differences (Non-PowerTax) - Non-Protected</t>
  </si>
  <si>
    <t>Non-Protected Property (Non-PowerTax)</t>
  </si>
  <si>
    <t>Maryland Fixed Asset Differences (Non-PowerTax) - Non-Protected CIAC</t>
  </si>
  <si>
    <t>DC Fixed Asset Differences (PowerTax) - Non-Protected</t>
  </si>
  <si>
    <t>DC Fixed Asset Differences (PowerTax) - Non-Protected CIAC</t>
  </si>
  <si>
    <t>DC Fixed Asset Differences (PowerTax FT) - Non-Protected</t>
  </si>
  <si>
    <t>DC Fixed Asset Differences (Non-PowerTax) - Non-Protected</t>
  </si>
  <si>
    <t>DC Fixed Asset Differences (Non-PowerTax) - Non-Protected CIAC</t>
  </si>
  <si>
    <t>Fixed Asset Basis Differences (Non-PowerTax) - Non-Protected</t>
  </si>
  <si>
    <t>Fixed Asset Basis Differences (Non-PowerTax) - Non-Protected CIAC</t>
  </si>
  <si>
    <t>Total FERC Account 282</t>
  </si>
  <si>
    <r>
      <t>FERC Account 283 - Non-Current (</t>
    </r>
    <r>
      <rPr>
        <b/>
        <u/>
        <sz val="11"/>
        <color rgb="FF0070C0"/>
        <rFont val="Arial"/>
        <family val="2"/>
      </rPr>
      <t>Note A</t>
    </r>
    <r>
      <rPr>
        <b/>
        <u/>
        <sz val="11"/>
        <color theme="1"/>
        <rFont val="Arial"/>
        <family val="2"/>
      </rPr>
      <t>)</t>
    </r>
  </si>
  <si>
    <t>Unamortized Loss on Reacquired Debt - General</t>
  </si>
  <si>
    <t>Unamortized Loss - Pollution Bonds</t>
  </si>
  <si>
    <t>Unamortized Loss - First Mortgage Bonds</t>
  </si>
  <si>
    <t>Prepayments - Other Taxes</t>
  </si>
  <si>
    <t>Prepayments - General</t>
  </si>
  <si>
    <t>Prepayments - Workmen's Compensation</t>
  </si>
  <si>
    <t>DSM - Energy Efficient Products - Community - MD</t>
  </si>
  <si>
    <t>Regulatory Assets - DSM - Direct Load Control - MD</t>
  </si>
  <si>
    <t>Reg Assets-FERC Formula Rate Adj-Transmission Svc</t>
  </si>
  <si>
    <t>Regulatory Assets - Asset Retirement Obligation</t>
  </si>
  <si>
    <t>Regulatory Assets - DC Recovery - Base</t>
  </si>
  <si>
    <t>Regulatory Assets - MD Recovery - Base</t>
  </si>
  <si>
    <t>Regulatory Assets - DC</t>
  </si>
  <si>
    <t>Regulatory Assets - MD</t>
  </si>
  <si>
    <t>Regulatory Assets - DC Power Line Undergrounding</t>
  </si>
  <si>
    <t>Reg Assets-Third Party Supplier Recovery-MD Dist</t>
  </si>
  <si>
    <t>Regulatory Asset - Wks Comp/LT Disability Accrual</t>
  </si>
  <si>
    <t>Regulatory Assets-DC Residential Aid</t>
  </si>
  <si>
    <t>Regulatory Asset- Maryland Meters</t>
  </si>
  <si>
    <t>AMI - Recoverable - DC</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</si>
  <si>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</si>
  <si>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</si>
  <si>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</si>
  <si>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</si>
  <si>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</si>
  <si>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</si>
  <si>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</si>
  <si>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</si>
  <si>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</si>
  <si>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</si>
  <si>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(Entered in ATT H-9A, Line 41a)</t>
  </si>
  <si>
    <t>(Entered in ATT H-9A, Line 41b)</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</si>
  <si>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</si>
  <si>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Multistate Workpaper</t>
  </si>
  <si>
    <t>Non-Pension Postretiree Benefit Obligation</t>
  </si>
  <si>
    <t>Government Affairs</t>
  </si>
  <si>
    <t>Accrued Benefits</t>
  </si>
  <si>
    <t>Accrued Environmental Liability</t>
  </si>
  <si>
    <t>Accrued Liability - DC Distribution Underground</t>
  </si>
  <si>
    <t>Accrued OPEB</t>
  </si>
  <si>
    <t>Accrued Other Expenses</t>
  </si>
  <si>
    <t>Accrued Payroll Taxes - AIP</t>
  </si>
  <si>
    <t>Accrued Worker's Compensation</t>
  </si>
  <si>
    <t>Asset Retirement Obligation</t>
  </si>
  <si>
    <t>Long-term Incentive Plan</t>
  </si>
  <si>
    <t>Other Deferred Credits</t>
  </si>
  <si>
    <t>Regulatory Liability</t>
  </si>
  <si>
    <t>Sales &amp; Use Tax Reserve</t>
  </si>
  <si>
    <t>Capital Loss Carryforward</t>
  </si>
  <si>
    <t>State Net Operating Loss Carryforward</t>
  </si>
  <si>
    <t>Unamortized Investment Tax Credit</t>
  </si>
  <si>
    <t>AFUDC Equity</t>
  </si>
  <si>
    <t>Maryland Subtraction Modification</t>
  </si>
  <si>
    <t>Plant Deferred Taxes - Flow-through</t>
  </si>
  <si>
    <t>Accrued Property Taxes</t>
  </si>
  <si>
    <t>Other Deferred Debits</t>
  </si>
  <si>
    <t>Pension Asset</t>
  </si>
  <si>
    <t>Regulatory Asset</t>
  </si>
  <si>
    <t>Unamortized Loss on Reacquired Debt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</si>
  <si>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</si>
  <si>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</si>
  <si>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</si>
  <si>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</si>
  <si>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</si>
  <si>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</si>
  <si>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</si>
  <si>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</si>
  <si>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</si>
  <si>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</si>
  <si>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</si>
  <si>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</si>
  <si>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</si>
  <si>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</si>
  <si>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</si>
  <si>
    <t>Prepaid Rent</t>
  </si>
  <si>
    <t>Working Funds</t>
  </si>
  <si>
    <t xml:space="preserve">  Other Prepayments </t>
  </si>
  <si>
    <t>Separation Costs</t>
  </si>
  <si>
    <t>Accrued Liability - Legal</t>
  </si>
  <si>
    <t>Deferred Revenue</t>
  </si>
  <si>
    <t>Regulatory Liability - FERC Transmission True-up</t>
  </si>
  <si>
    <t>State Income Taxes</t>
  </si>
  <si>
    <t>Total - Pg. 275  (Form 1-F filer:  see note 7, below)</t>
  </si>
  <si>
    <t>Attachment 6B - True-Up Interest</t>
  </si>
  <si>
    <t>The Total line in Excel cell A70 should have a line number 22</t>
  </si>
  <si>
    <t>Attachment 9 - Rate Base</t>
  </si>
  <si>
    <t>Excel D10</t>
  </si>
  <si>
    <t>Reference should be "207.99.g minus 207.98.g plus 205.5.g for end of year, records for other months"</t>
  </si>
  <si>
    <t xml:space="preserve">       </t>
  </si>
  <si>
    <t>Direct Transmission Wages Expense</t>
  </si>
  <si>
    <t xml:space="preserve">Exelon Business Services Company Transmission Wages Expense </t>
  </si>
  <si>
    <t>P354 footnote</t>
  </si>
  <si>
    <t>1b</t>
  </si>
  <si>
    <t>Pepco Holdings Service Company Wages Expense</t>
  </si>
  <si>
    <t>1c</t>
  </si>
  <si>
    <t>Total Transmission Expense</t>
  </si>
  <si>
    <t>(Line 1+1a+1b)</t>
  </si>
  <si>
    <t>Direct Total  Wages Expense</t>
  </si>
  <si>
    <t>2a</t>
  </si>
  <si>
    <t>Exelon  Business Services Company Total Wages Expense</t>
  </si>
  <si>
    <t>2b</t>
  </si>
  <si>
    <t>Pepco Holdings Service Company Total Wages Expense</t>
  </si>
  <si>
    <t>2c</t>
  </si>
  <si>
    <t>(Line 2+2a+2b)</t>
  </si>
  <si>
    <t>Less Exelon Business Services Company A&amp;G Wages Expense</t>
  </si>
  <si>
    <t>Less Pepco Holdings Service Company A&amp;G Wages Expense</t>
  </si>
  <si>
    <t>(Line 2c - 3 -3a-3b)</t>
  </si>
  <si>
    <t>(Line 1c / 4)</t>
  </si>
  <si>
    <t>Maryland Additional Subtraction Carryforward</t>
  </si>
  <si>
    <t>Maryland 10-309 Carryforward</t>
  </si>
  <si>
    <t>Montgomery Count Permit Fees</t>
  </si>
  <si>
    <t>MD Diesel Fuel</t>
  </si>
  <si>
    <t>12/31/2021 (Actual)</t>
  </si>
  <si>
    <t>Includable Plant</t>
  </si>
  <si>
    <t xml:space="preserve">p336.10b&amp;c </t>
  </si>
  <si>
    <t>p336.1d&amp;e</t>
  </si>
  <si>
    <t>Chamber of Commerce (923)</t>
  </si>
  <si>
    <t>Chamber of Commerce (930.2)</t>
  </si>
  <si>
    <t>390 - ALLOCABLE Other</t>
  </si>
  <si>
    <t>390 - ALLOCABLE Major</t>
  </si>
  <si>
    <t xml:space="preserve">Note 1: </t>
  </si>
  <si>
    <t xml:space="preserve">Note 2: </t>
  </si>
  <si>
    <t xml:space="preserve">Note 3: </t>
  </si>
  <si>
    <t>p336.7b&amp;c</t>
  </si>
  <si>
    <t>Prior Period Adjustments listed in row 3r and s</t>
  </si>
  <si>
    <t>Depreciation and amortization rates reflected in FERC Docket No. ER21-83 (transmission), Maryland Case No. 9385 (general and intangible), District of Columbia Formal Case Nos. 1150 and 1151 (general and intangible) and in the 2021 Annual Update (SMECO labeled subaccounts).  Allocable subaccount depreciation and amortization rates are calculated and updated based on the approved Maryland and District of Columbia depreciation and amortization rates and weighted by jurisdictional plant balances.</t>
  </si>
  <si>
    <t>Within five years of the effective date of the Settlement in Docket No. ER19-5 et al, and at least every five years thereafter, Pepco will file an FPA Section 205 rate proceeding, with a new depreciation study, to revise its transmission depreciation rates (unless the company has otherwise submitted an FPA Section 205 rate filing, with a new depreciation study, that addresses its depreciation rates in the prior five years).</t>
  </si>
  <si>
    <t>December 31, 2022</t>
  </si>
  <si>
    <t>2022 Projected</t>
  </si>
  <si>
    <t>Illinois Legislative Costs</t>
  </si>
  <si>
    <t>Gross Receipt Taxes Refund (in 923)</t>
  </si>
  <si>
    <t>Gross Receipt Taxes Refund (Total)</t>
  </si>
  <si>
    <t>FERC Form 1 XBRL Mapping Change</t>
  </si>
  <si>
    <t xml:space="preserve">Item </t>
  </si>
  <si>
    <t>Tab/Attachment</t>
  </si>
  <si>
    <t>Cell Reference</t>
  </si>
  <si>
    <t>Existing FERC Reference</t>
  </si>
  <si>
    <t>Revised FERC Form 1 Location</t>
  </si>
  <si>
    <t>ATT H-9A</t>
  </si>
  <si>
    <t>F10</t>
  </si>
  <si>
    <t>p354-355.21b</t>
  </si>
  <si>
    <t>F11</t>
  </si>
  <si>
    <t>p354-355 footnote</t>
  </si>
  <si>
    <t>F12</t>
  </si>
  <si>
    <t>F14</t>
  </si>
  <si>
    <t>p354-355.28b</t>
  </si>
  <si>
    <t>F15</t>
  </si>
  <si>
    <t>F16</t>
  </si>
  <si>
    <t>F18</t>
  </si>
  <si>
    <t>p354-355.27b</t>
  </si>
  <si>
    <t>F19</t>
  </si>
  <si>
    <t>F20</t>
  </si>
  <si>
    <t>F27</t>
  </si>
  <si>
    <t>p204-207.104g (See Attachment 9A, line 14, column j)</t>
  </si>
  <si>
    <t>F34</t>
  </si>
  <si>
    <t>p200-201.21c (See Attachment 9, line 14, column h)</t>
  </si>
  <si>
    <t>F54</t>
  </si>
  <si>
    <t>p204-207.58.g (See Attachment 9, line 14, column b)</t>
  </si>
  <si>
    <t>F60</t>
  </si>
  <si>
    <t>p204-207.5.g &amp; p204-207.99.g (See Attachment 9, line 14, column c)</t>
  </si>
  <si>
    <t>F147</t>
  </si>
  <si>
    <t>p320-321.96.b</t>
  </si>
  <si>
    <t>F150</t>
  </si>
  <si>
    <t>p200-201.3.c</t>
  </si>
  <si>
    <t>F159</t>
  </si>
  <si>
    <t>p320-323.185b</t>
  </si>
  <si>
    <t>F160</t>
  </si>
  <si>
    <t>p320-323.189b</t>
  </si>
  <si>
    <t>F161</t>
  </si>
  <si>
    <t>p320-323.191b</t>
  </si>
  <si>
    <t>F169</t>
  </si>
  <si>
    <t>F170</t>
  </si>
  <si>
    <t>F173</t>
  </si>
  <si>
    <t>F174</t>
  </si>
  <si>
    <t>F185</t>
  </si>
  <si>
    <t>P336-337.7b&amp;c (See Attachment 5)</t>
  </si>
  <si>
    <t>F189</t>
  </si>
  <si>
    <t>p336-337.10b&amp;c (See Attachment 5)</t>
  </si>
  <si>
    <t>F191</t>
  </si>
  <si>
    <t>p336-337.1d&amp;e (See Attachment 5)</t>
  </si>
  <si>
    <t>F197</t>
  </si>
  <si>
    <t>p336-337.11.b  (See Attachment 5)</t>
  </si>
  <si>
    <t>F198</t>
  </si>
  <si>
    <t>p356 or p336-337.11d (See Attachment 5)</t>
  </si>
  <si>
    <t>F215</t>
  </si>
  <si>
    <t>p114-117.62c through 67c</t>
  </si>
  <si>
    <t>F222</t>
  </si>
  <si>
    <t>p112-113.16c</t>
  </si>
  <si>
    <t>F224</t>
  </si>
  <si>
    <t>p112-113.12c</t>
  </si>
  <si>
    <t>F225</t>
  </si>
  <si>
    <t>p112-113.15c</t>
  </si>
  <si>
    <t>ATT H-1A</t>
  </si>
  <si>
    <t>F229</t>
  </si>
  <si>
    <t>p112-113.17c through 21c</t>
  </si>
  <si>
    <t>F230</t>
  </si>
  <si>
    <t>p110-111.81c</t>
  </si>
  <si>
    <t>F231</t>
  </si>
  <si>
    <t>p112-113.61c</t>
  </si>
  <si>
    <t>F227</t>
  </si>
  <si>
    <t>p112-113.3c</t>
  </si>
  <si>
    <t>Footnote X</t>
  </si>
  <si>
    <t>D385</t>
  </si>
  <si>
    <t>112 lines 18.c &amp; d to 21.c &amp; d</t>
  </si>
  <si>
    <t>112-113 lines 18.c &amp; d to 21.c &amp; d</t>
  </si>
  <si>
    <t>Footnote Y</t>
  </si>
  <si>
    <t>D386</t>
  </si>
  <si>
    <t>112 line 3.c &amp; d</t>
  </si>
  <si>
    <t>112-113 line 3.c &amp; d</t>
  </si>
  <si>
    <t>Footnote Z</t>
  </si>
  <si>
    <t>D387</t>
  </si>
  <si>
    <t>112 lines 16.c &amp; d</t>
  </si>
  <si>
    <t>112-113 lines 16.c &amp; d</t>
  </si>
  <si>
    <t>1B - ADIT EOY</t>
  </si>
  <si>
    <t>B189</t>
  </si>
  <si>
    <t>Total - Pg. 274-275  (Form 1-F filer:  see note 7, below)</t>
  </si>
  <si>
    <t>B199</t>
  </si>
  <si>
    <t>7.  Re:  Form 1-F filer:  Sum of subtotals for Accounts 282 and 283 should tie to Form No. 1-F, p.112-113.57.c</t>
  </si>
  <si>
    <t>B265</t>
  </si>
  <si>
    <t>Total - Pg. 276-277  (Form 1-F filer:  see note 7, below)</t>
  </si>
  <si>
    <t>B275</t>
  </si>
  <si>
    <t>1C - ADIT BOY</t>
  </si>
  <si>
    <t>2 - Other Tax</t>
  </si>
  <si>
    <t>C69</t>
  </si>
  <si>
    <t>Total "Taxes Other Than Income Taxes" - acct 408.10 (p. 114-117.14)</t>
  </si>
  <si>
    <t>5 - Cost Support 1</t>
  </si>
  <si>
    <t>F7</t>
  </si>
  <si>
    <t>p200-201.21c (See Attachment 9, column h)</t>
  </si>
  <si>
    <t>F13</t>
  </si>
  <si>
    <t>p266-267.h (See Attachment 1B)</t>
  </si>
  <si>
    <t>F17</t>
  </si>
  <si>
    <t>F33</t>
  </si>
  <si>
    <t>p204-207.104g (See Attachment 9A, column b)</t>
  </si>
  <si>
    <t>F35</t>
  </si>
  <si>
    <t>p204-207.58.g (See Attachment 9, column b)</t>
  </si>
  <si>
    <t>F50</t>
  </si>
  <si>
    <t>F52</t>
  </si>
  <si>
    <t>F58</t>
  </si>
  <si>
    <t>F71</t>
  </si>
  <si>
    <t>F108</t>
  </si>
  <si>
    <t>p.110-111, l.57</t>
  </si>
  <si>
    <t>F240</t>
  </si>
  <si>
    <t>p204-207.104g</t>
  </si>
  <si>
    <t>F242</t>
  </si>
  <si>
    <t>p200-201.21c</t>
  </si>
  <si>
    <t>F243</t>
  </si>
  <si>
    <t>p204-207.58.g</t>
  </si>
  <si>
    <t>F244</t>
  </si>
  <si>
    <t>p204-207.5.g &amp; p204-207.99.g</t>
  </si>
  <si>
    <t>F251</t>
  </si>
  <si>
    <t>Total: p.320-323.197.b</t>
  </si>
  <si>
    <t>F252</t>
  </si>
  <si>
    <t>p320-323.112.b</t>
  </si>
  <si>
    <t>F269</t>
  </si>
  <si>
    <t>Total: p.320-323.197.b
Account 926: p.320-323.187.b and c</t>
  </si>
  <si>
    <t>Transmission(Gross Plant In Service)</t>
  </si>
  <si>
    <t>9 - Rate Base</t>
  </si>
  <si>
    <t>C10</t>
  </si>
  <si>
    <t>204-207.58.g minus 204- 207.57.g.  Projected monthly balances that are the amounts expected to be included in 204-207.58.g for end of year and records for other months (Note I)</t>
  </si>
  <si>
    <t>General &amp; Intangible(Gross Plant In Service)</t>
  </si>
  <si>
    <t>D10</t>
  </si>
  <si>
    <t>204-207.99.g  minus 204-207.98.g for end of year, records for other months</t>
  </si>
  <si>
    <t>Intangible (Accumulated Amortization)</t>
  </si>
  <si>
    <t>I10</t>
  </si>
  <si>
    <t>200-201.21c for end of year, records for other months</t>
  </si>
  <si>
    <t>Total Plant in Service(Gross Plant In Service)</t>
  </si>
  <si>
    <t>9A - Gross Plant &amp; ARO</t>
  </si>
  <si>
    <t xml:space="preserve">p204-207.104.g. Projected monthly balances that are the amounts expected to be included in 204- 207.104.g for end of year and records for other months </t>
  </si>
  <si>
    <t>204-207.58.g. Projected monthly balances that are the amounts expected to be included in 207.58.g for end of year and records for other months (Note I)</t>
  </si>
  <si>
    <t>E10</t>
  </si>
  <si>
    <t>204-207.99.g. plus 205.5.g. for end of year, records for other months</t>
  </si>
  <si>
    <t>Total Plant in Service(Asset Retirement Obligations)</t>
  </si>
  <si>
    <t>G10</t>
  </si>
  <si>
    <t>204-207.57.g. + 204-207.74.g. + 204-207.83.g. + 204-207.98.g.  Projected monthly balances that are the amounts expected to be included in 204-207.57.g. + 204-207.74.g. + 204-207.83.g. + 204-207.98.g.  for end of year and records for other months</t>
  </si>
  <si>
    <t>Transmission(Asset Retirement Obligations)</t>
  </si>
  <si>
    <t>H10</t>
  </si>
  <si>
    <t xml:space="preserve">204-207.57.g.  Projected monthly balances that are the amounts expected to be included in 204-207.57.g for end of year and records for other months </t>
  </si>
  <si>
    <t>General &amp; Intangible (Asset Retirement Obligations)</t>
  </si>
  <si>
    <t>204-207.98.g. for end of year, records for other months</t>
  </si>
  <si>
    <t>Intangible Amort. (Accumulated Depreciation &amp; Amortization)</t>
  </si>
  <si>
    <t>F30</t>
  </si>
  <si>
    <t>Intangible Amort. (Asset Retirement Obligations)</t>
  </si>
  <si>
    <t>L30</t>
  </si>
  <si>
    <t>11A - O&amp;M</t>
  </si>
  <si>
    <t>E7</t>
  </si>
  <si>
    <t>320-323.83.b to 320-323.112.b</t>
  </si>
  <si>
    <t>11B - A&amp;G</t>
  </si>
  <si>
    <t>320-323.181.b to 320-323.196.b</t>
  </si>
  <si>
    <t>Reference for Excel Cell F325 should be (Line 164 - 86) / 165</t>
  </si>
  <si>
    <t>The rates on this schedule cannot be changed absent a section 205 or 206 filing.</t>
  </si>
  <si>
    <t>2022
True-Up</t>
  </si>
  <si>
    <t>December 31, 2022 (Actuals)</t>
  </si>
  <si>
    <t>Accrued Bodily Injuries</t>
  </si>
  <si>
    <t>Year Ended December 31, 2022</t>
  </si>
  <si>
    <t xml:space="preserve"> Transmission Capital Lease $76,000,000, Distribution Capital Lease $76,000,000, and General capital lease $35,418,483</t>
  </si>
  <si>
    <t xml:space="preserve"> Transmission Capital Lease amortization $76,000,000, Distribution Capital Lease amortization $76,000,000, and General capital lease amortization $10,827,614</t>
  </si>
  <si>
    <t xml:space="preserve"> General capital lease $35,418,483</t>
  </si>
  <si>
    <t>Prepaid Software</t>
  </si>
  <si>
    <t>Prepaid Retention</t>
  </si>
  <si>
    <t>EPRI</t>
  </si>
  <si>
    <t>Operation of Energy Storage Equipment</t>
  </si>
  <si>
    <t>Maintenance of Energy Storage Equipment</t>
  </si>
  <si>
    <t>12/31/2022 (Actual)</t>
  </si>
  <si>
    <t>December 31, 2021</t>
  </si>
  <si>
    <t>Actuals for the 12 Months Ended December 31, 2022</t>
  </si>
  <si>
    <t>PJM</t>
  </si>
  <si>
    <t xml:space="preserve">The actuarially determined amount of OPEB expense in FERC 926 increase from the prior year;  The increase is due decrease in service cost, increase in interest cost due to higher discount rates and there was an increase due to expiration of some of the prior service cost credits.
</t>
  </si>
  <si>
    <t xml:space="preserve">The remaining unamortized excess and deficient ADIT related to the Tax Reform Act of 1986 will be amortized using the Average Rate Assumption Method (ARAM)  as provided in the Settlement in Docket No. ER19-5 et al. The current year amortization of deficient and (excess) ADIT is recorded in FERC Accounts 410.1 and 411.1. </t>
  </si>
  <si>
    <t>True-up Adjustment</t>
  </si>
  <si>
    <t>December 31, 2021 (Actuals)</t>
  </si>
  <si>
    <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t>
  </si>
  <si>
    <t>Other Accrued Deferred Tax Assets</t>
  </si>
  <si>
    <t>Income Tax Regulatory Liability</t>
  </si>
  <si>
    <t xml:space="preserve">ADIT is included to the extent attributable to plant in service that is included in rate base. </t>
  </si>
  <si>
    <t>Plant Related Deferred Taxes</t>
  </si>
  <si>
    <t>Contribution in Aid of Construction</t>
  </si>
  <si>
    <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t>
  </si>
  <si>
    <r>
      <t xml:space="preserve">Transmission A&amp;G </t>
    </r>
    <r>
      <rPr>
        <vertAlign val="superscript"/>
        <sz val="10"/>
        <rFont val="Arial"/>
        <family val="2"/>
      </rPr>
      <t>1</t>
    </r>
  </si>
  <si>
    <r>
      <t xml:space="preserve">Total </t>
    </r>
    <r>
      <rPr>
        <vertAlign val="superscript"/>
        <sz val="10"/>
        <rFont val="Arial"/>
        <family val="2"/>
      </rPr>
      <t>2</t>
    </r>
  </si>
  <si>
    <r>
      <rPr>
        <vertAlign val="superscript"/>
        <sz val="10"/>
        <rFont val="Arial"/>
        <family val="2"/>
      </rPr>
      <t>1</t>
    </r>
    <r>
      <rPr>
        <sz val="10"/>
        <rFont val="Arial"/>
        <family val="2"/>
      </rPr>
      <t xml:space="preserve"> Multiply total amounts on line 15, columns (b)-(e) by allocation factors on line 16.</t>
    </r>
  </si>
  <si>
    <r>
      <rPr>
        <vertAlign val="superscript"/>
        <sz val="10"/>
        <rFont val="Arial"/>
        <family val="2"/>
      </rPr>
      <t>2</t>
    </r>
    <r>
      <rPr>
        <sz val="10"/>
        <rFont val="Arial"/>
        <family val="2"/>
      </rPr>
      <t xml:space="preserve"> Sum of line 17, columns (b), (c), (d), (e). </t>
    </r>
  </si>
  <si>
    <t xml:space="preserve">  FERC Form 1 page 351.1 line 30 (h) - 32 (h), transmission related only.</t>
  </si>
  <si>
    <t>raud</t>
  </si>
  <si>
    <t>EPRI Membership dues in FERC Transmission O&amp;M Account 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</si>
</sst>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quot;$&quot;* #,##0.000_);_(&quot;$&quot;* \(#,##0.000\);_(&quot;$&quot;* &quot;-&quot;???_);_(@_)"/>
    <numFmt numFmtId="170" formatCode="_(* #,##0.0_);_(* \(#,##0.0\);_(* &quot;-&quot;??_);_(@_)"/>
    <numFmt numFmtId="171" formatCode="General_)"/>
    <numFmt numFmtId="172" formatCode="0.0000"/>
    <numFmt numFmtId="173" formatCode="_(* #,##0.0000_);_(* \(#,##0.0000\);_(* &quot;-&quot;??_);_(@_)"/>
    <numFmt numFmtId="174" formatCode="0.00000"/>
    <numFmt numFmtId="175" formatCode="0.00000%"/>
    <numFmt numFmtId="176" formatCode="0.0%"/>
    <numFmt numFmtId="177" formatCode="0.0000000000"/>
    <numFmt numFmtId="178" formatCode="_(* #,##0.00000000000_);_(* \(#,##0.00000000000\);_(* &quot;-&quot;??_);_(@_)"/>
    <numFmt numFmtId="179" formatCode="0.000000%"/>
    <numFmt numFmtId="180" formatCode="#,##0_);\(#,##0\);&quot; &quot;"/>
    <numFmt numFmtId="181" formatCode="0_);\(0\)"/>
    <numFmt numFmtId="182" formatCode="#,##0.00000"/>
    <numFmt numFmtId="183" formatCode="&quot;$&quot;#,##0"/>
    <numFmt numFmtId="184" formatCode="_(* #,##0.00000_);_(* \(#,##0.00000\);_(* &quot;-&quot;?????_);_(@_)"/>
    <numFmt numFmtId="185" formatCode="_(* #,##0.000_);_(* \(#,##0.000\);_(* &quot;-&quot;???_);_(@_)"/>
    <numFmt numFmtId="186" formatCode="0_)"/>
    <numFmt numFmtId="187" formatCode="0.0"/>
    <numFmt numFmtId="188" formatCode="_(&quot;$&quot;* #,##0.0_);_(&quot;$&quot;* \(#,##0.0\);_(&quot;$&quot;* &quot;-&quot;??_);_(@_)"/>
  </numFmts>
  <fonts count="119">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sz val="16"/>
      <color indexed="10"/>
      <name val="Arial"/>
      <family val="2"/>
    </font>
    <font>
      <b/>
      <sz val="14"/>
      <color indexed="10"/>
      <name val="Arial"/>
      <family val="2"/>
    </font>
    <font>
      <b/>
      <sz val="12"/>
      <name val="Arial Narrow"/>
      <family val="2"/>
    </font>
    <font>
      <sz val="10"/>
      <color rgb="FFFF0000"/>
      <name val="Arial"/>
      <family val="2"/>
    </font>
    <font>
      <sz val="12"/>
      <name val="Arial"/>
      <family val="2"/>
    </font>
    <font>
      <b/>
      <sz val="16"/>
      <color rgb="FFFF0000"/>
      <name val="Arial"/>
      <family val="2"/>
    </font>
    <font>
      <b/>
      <sz val="16"/>
      <name val="Arial"/>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u/>
      <sz val="11"/>
      <name val="Arial"/>
      <family val="2"/>
    </font>
    <font>
      <u/>
      <sz val="10"/>
      <name val="Arial"/>
      <family val="2"/>
    </font>
    <font>
      <b/>
      <i/>
      <u/>
      <sz val="10"/>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sz val="12"/>
      <color rgb="FFFF0000"/>
      <name val="Arial"/>
      <family val="2"/>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sz val="10"/>
      <color rgb="FF002060"/>
      <name val="Arial"/>
      <family val="2"/>
    </font>
    <font>
      <b/>
      <sz val="11"/>
      <color theme="1"/>
      <name val="Times New Roman"/>
      <family val="1"/>
    </font>
    <font>
      <b/>
      <sz val="12"/>
      <name val="Arial MT"/>
    </font>
    <font>
      <sz val="8"/>
      <name val="Calibri"/>
      <family val="2"/>
      <scheme val="minor"/>
    </font>
    <font>
      <sz val="11"/>
      <color rgb="FFFF0000"/>
      <name val="Times New Roman"/>
      <family val="1"/>
    </font>
    <font>
      <sz val="12"/>
      <color indexed="8"/>
      <name val="Arial"/>
      <family val="2"/>
    </font>
    <font>
      <sz val="11"/>
      <name val="Times New Roman"/>
      <family val="1"/>
    </font>
    <font>
      <b/>
      <i/>
      <sz val="11"/>
      <color theme="1"/>
      <name val="Times New Roman"/>
      <family val="1"/>
    </font>
    <font>
      <b/>
      <sz val="11"/>
      <name val="Times New Roman"/>
      <family val="1"/>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b/>
      <sz val="11"/>
      <color rgb="FF0070C0"/>
      <name val="Arial"/>
      <family val="2"/>
    </font>
    <font>
      <sz val="10"/>
      <color theme="0"/>
      <name val="Arial"/>
      <family val="2"/>
    </font>
    <font>
      <b/>
      <u/>
      <sz val="11"/>
      <color theme="1"/>
      <name val="Arial"/>
      <family val="2"/>
    </font>
    <font>
      <b/>
      <u/>
      <sz val="11"/>
      <color rgb="FF0070C0"/>
      <name val="Arial"/>
      <family val="2"/>
    </font>
    <font>
      <sz val="10"/>
      <color theme="3"/>
      <name val="Arial"/>
      <family val="2"/>
    </font>
    <font>
      <b/>
      <i/>
      <sz val="14"/>
      <name val="Arial"/>
      <family val="2"/>
    </font>
    <font>
      <b/>
      <sz val="11"/>
      <color rgb="FFFF0000"/>
      <name val="Times New Roman"/>
      <family val="1"/>
    </font>
    <font>
      <sz val="10"/>
      <color theme="1"/>
      <name val="Tahoma"/>
      <family val="2"/>
    </font>
    <font>
      <sz val="10"/>
      <name val="Arial "/>
    </font>
    <font>
      <sz val="12"/>
      <color rgb="FFFF0000"/>
      <name val="Arial Narrow"/>
      <family val="2"/>
    </font>
    <font>
      <sz val="10"/>
      <color theme="1"/>
      <name val="Courier New"/>
      <family val="2"/>
    </font>
    <font>
      <vertAlign val="superscript"/>
      <sz val="10"/>
      <name val="Arial"/>
      <family val="2"/>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73">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1" fontId="26"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4" fillId="0" borderId="0"/>
    <xf numFmtId="43" fontId="44" fillId="0" borderId="0" applyFont="0" applyFill="0" applyBorder="0" applyAlignment="0" applyProtection="0"/>
    <xf numFmtId="168" fontId="30" fillId="0" borderId="0" applyProtection="0"/>
    <xf numFmtId="0" fontId="61" fillId="0" borderId="0"/>
    <xf numFmtId="0" fontId="59" fillId="0" borderId="0"/>
    <xf numFmtId="44" fontId="59" fillId="0" borderId="0" applyFont="0" applyFill="0" applyBorder="0" applyAlignment="0" applyProtection="0"/>
    <xf numFmtId="0" fontId="59" fillId="0" borderId="0"/>
    <xf numFmtId="43" fontId="59" fillId="0" borderId="0" applyFont="0" applyFill="0" applyBorder="0" applyAlignment="0" applyProtection="0"/>
    <xf numFmtId="168" fontId="30" fillId="0" borderId="0" applyProtection="0"/>
    <xf numFmtId="0" fontId="8" fillId="0" borderId="0"/>
    <xf numFmtId="168" fontId="30" fillId="0" borderId="0" applyProtection="0"/>
    <xf numFmtId="168" fontId="30" fillId="0" borderId="0" applyProtection="0"/>
    <xf numFmtId="0" fontId="30" fillId="0" borderId="0" applyProtection="0"/>
    <xf numFmtId="0" fontId="8" fillId="0" borderId="0"/>
    <xf numFmtId="0" fontId="8" fillId="0" borderId="0"/>
    <xf numFmtId="168" fontId="30" fillId="0" borderId="0" applyProtection="0"/>
    <xf numFmtId="0" fontId="8" fillId="0" borderId="0"/>
    <xf numFmtId="0" fontId="59" fillId="0" borderId="0"/>
    <xf numFmtId="168" fontId="30" fillId="0" borderId="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43" fontId="59" fillId="0" borderId="0" applyFont="0" applyFill="0" applyBorder="0" applyAlignment="0" applyProtection="0"/>
    <xf numFmtId="41" fontId="59" fillId="0" borderId="0" applyFont="0" applyFill="0" applyBorder="0" applyAlignment="0" applyProtection="0"/>
    <xf numFmtId="0" fontId="59" fillId="0" borderId="0"/>
    <xf numFmtId="0" fontId="59" fillId="0" borderId="0"/>
    <xf numFmtId="41" fontId="59" fillId="0" borderId="0" applyFont="0" applyFill="0" applyBorder="0" applyAlignment="0" applyProtection="0"/>
    <xf numFmtId="0" fontId="59" fillId="0" borderId="0"/>
    <xf numFmtId="43" fontId="59" fillId="0" borderId="0" applyFont="0" applyFill="0" applyBorder="0" applyAlignment="0" applyProtection="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168" fontId="30" fillId="0" borderId="0" applyProtection="0"/>
    <xf numFmtId="168" fontId="30" fillId="0" borderId="0" applyProtection="0"/>
    <xf numFmtId="0" fontId="8" fillId="0" borderId="0"/>
    <xf numFmtId="0" fontId="79" fillId="0" borderId="0"/>
    <xf numFmtId="0" fontId="59" fillId="0" borderId="0"/>
    <xf numFmtId="0" fontId="8" fillId="0" borderId="0"/>
    <xf numFmtId="168" fontId="30" fillId="0" borderId="0" applyProtection="0"/>
    <xf numFmtId="0" fontId="8" fillId="0" borderId="0"/>
    <xf numFmtId="168" fontId="30" fillId="0" borderId="0" applyProtection="0"/>
    <xf numFmtId="44" fontId="59" fillId="0" borderId="0" applyFont="0" applyFill="0" applyBorder="0" applyAlignment="0" applyProtection="0"/>
    <xf numFmtId="44" fontId="8" fillId="0" borderId="0" applyFont="0" applyFill="0" applyBorder="0" applyAlignment="0" applyProtection="0"/>
    <xf numFmtId="0" fontId="59" fillId="0" borderId="0"/>
    <xf numFmtId="0" fontId="8" fillId="0" borderId="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8" fillId="0" borderId="0"/>
    <xf numFmtId="43" fontId="59" fillId="0" borderId="0" applyFont="0" applyFill="0" applyBorder="0" applyAlignment="0" applyProtection="0"/>
    <xf numFmtId="9"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0" fillId="0" borderId="0"/>
    <xf numFmtId="0" fontId="8" fillId="0" borderId="0"/>
    <xf numFmtId="0" fontId="96" fillId="0" borderId="0"/>
    <xf numFmtId="0" fontId="8" fillId="0" borderId="0"/>
    <xf numFmtId="43" fontId="44" fillId="0" borderId="0" applyFont="0" applyFill="0" applyBorder="0" applyAlignment="0" applyProtection="0"/>
    <xf numFmtId="0" fontId="44"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114" fillId="0" borderId="0"/>
    <xf numFmtId="9" fontId="11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0" fontId="44" fillId="0" borderId="0"/>
    <xf numFmtId="0" fontId="8" fillId="0" borderId="0"/>
    <xf numFmtId="0" fontId="117" fillId="0" borderId="0"/>
    <xf numFmtId="43" fontId="11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cellStyleXfs>
  <cellXfs count="2015">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164" fontId="8" fillId="0" borderId="0" xfId="1" applyNumberFormat="1"/>
    <xf numFmtId="0" fontId="9" fillId="0" borderId="0" xfId="0" applyFont="1" applyAlignment="1">
      <alignment horizontal="left"/>
    </xf>
    <xf numFmtId="0" fontId="0" fillId="0" borderId="0" xfId="0" applyAlignment="1">
      <alignment horizontal="left"/>
    </xf>
    <xf numFmtId="164" fontId="8" fillId="0" borderId="0" xfId="1" applyNumberFormat="1" applyFill="1"/>
    <xf numFmtId="165" fontId="8" fillId="0" borderId="0" xfId="2" applyNumberFormat="1"/>
    <xf numFmtId="165" fontId="0" fillId="0" borderId="0" xfId="2" applyNumberFormat="1" applyFont="1"/>
    <xf numFmtId="0" fontId="10" fillId="0" borderId="0" xfId="0" applyNumberFormat="1" applyFont="1" applyFill="1"/>
    <xf numFmtId="0" fontId="11" fillId="0" borderId="0" xfId="0" applyFont="1"/>
    <xf numFmtId="49" fontId="2" fillId="0" borderId="1" xfId="0" applyNumberFormat="1" applyFont="1" applyFill="1" applyBorder="1" applyAlignment="1"/>
    <xf numFmtId="0" fontId="2" fillId="0" borderId="1" xfId="0" applyFont="1" applyFill="1" applyBorder="1" applyAlignment="1">
      <alignment wrapText="1"/>
    </xf>
    <xf numFmtId="0" fontId="12" fillId="0" borderId="2" xfId="0" applyFont="1" applyFill="1" applyBorder="1"/>
    <xf numFmtId="0" fontId="12" fillId="0" borderId="3" xfId="0" applyFont="1" applyBorder="1" applyAlignment="1">
      <alignment horizontal="center"/>
    </xf>
    <xf numFmtId="0" fontId="12" fillId="0" borderId="4" xfId="0" applyFont="1" applyBorder="1"/>
    <xf numFmtId="0" fontId="12" fillId="0" borderId="2"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12" fillId="0" borderId="6" xfId="0" applyFont="1" applyBorder="1" applyAlignment="1">
      <alignment horizontal="center"/>
    </xf>
    <xf numFmtId="0" fontId="12" fillId="2" borderId="5" xfId="0" applyFont="1" applyFill="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0" fontId="8" fillId="0" borderId="0" xfId="3" applyFill="1" applyAlignment="1">
      <alignment horizontal="left" vertical="center" wrapText="1"/>
    </xf>
    <xf numFmtId="164" fontId="12" fillId="0" borderId="6" xfId="4" applyNumberFormat="1" applyFont="1" applyBorder="1"/>
    <xf numFmtId="0" fontId="8" fillId="0" borderId="0" xfId="3" applyFont="1" applyFill="1" applyAlignment="1">
      <alignment horizontal="left" vertical="center" wrapText="1"/>
    </xf>
    <xf numFmtId="165" fontId="12" fillId="0" borderId="0" xfId="2" applyNumberFormat="1" applyFont="1" applyBorder="1"/>
    <xf numFmtId="165" fontId="12" fillId="0" borderId="6" xfId="2" applyNumberFormat="1" applyFont="1" applyBorder="1"/>
    <xf numFmtId="0" fontId="8" fillId="0" borderId="0" xfId="3" applyFont="1" applyFill="1" applyAlignment="1">
      <alignment wrapText="1"/>
    </xf>
    <xf numFmtId="164" fontId="12" fillId="2" borderId="5" xfId="4" applyNumberFormat="1" applyFont="1" applyFill="1" applyBorder="1"/>
    <xf numFmtId="164" fontId="12" fillId="0" borderId="0" xfId="4" applyNumberFormat="1" applyFont="1" applyBorder="1"/>
    <xf numFmtId="164" fontId="12" fillId="2" borderId="5" xfId="1" applyNumberFormat="1" applyFont="1" applyFill="1" applyBorder="1"/>
    <xf numFmtId="164" fontId="12" fillId="0" borderId="0" xfId="1" applyNumberFormat="1" applyFont="1" applyBorder="1"/>
    <xf numFmtId="164" fontId="12" fillId="0" borderId="6" xfId="1" applyNumberFormat="1" applyFont="1" applyBorder="1"/>
    <xf numFmtId="0" fontId="12" fillId="0" borderId="0" xfId="3" applyFont="1" applyFill="1" applyBorder="1" applyAlignment="1">
      <alignment wrapText="1"/>
    </xf>
    <xf numFmtId="164" fontId="12" fillId="0" borderId="5" xfId="4" applyNumberFormat="1" applyFont="1" applyBorder="1"/>
    <xf numFmtId="164" fontId="12" fillId="0" borderId="5" xfId="1" applyNumberFormat="1" applyFont="1" applyBorder="1"/>
    <xf numFmtId="43" fontId="12" fillId="2" borderId="5" xfId="4" applyNumberFormat="1" applyFont="1" applyFill="1" applyBorder="1"/>
    <xf numFmtId="43" fontId="12" fillId="0" borderId="0" xfId="4" applyNumberFormat="1" applyFont="1" applyFill="1" applyBorder="1"/>
    <xf numFmtId="43" fontId="12" fillId="0" borderId="6" xfId="4" applyNumberFormat="1" applyFont="1" applyFill="1" applyBorder="1"/>
    <xf numFmtId="43" fontId="12" fillId="2" borderId="5" xfId="1" applyNumberFormat="1" applyFont="1" applyFill="1" applyBorder="1"/>
    <xf numFmtId="164" fontId="12" fillId="0" borderId="0" xfId="1" applyNumberFormat="1" applyFont="1" applyFill="1" applyBorder="1"/>
    <xf numFmtId="164" fontId="12" fillId="0" borderId="6"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0" fontId="12" fillId="0" borderId="8" xfId="0" applyFont="1" applyBorder="1" applyAlignment="1">
      <alignment horizontal="center"/>
    </xf>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7" xfId="1" applyNumberFormat="1" applyFont="1" applyBorder="1"/>
    <xf numFmtId="164" fontId="12" fillId="0" borderId="1" xfId="1" applyNumberFormat="1" applyFont="1" applyBorder="1"/>
    <xf numFmtId="164" fontId="12" fillId="0" borderId="8" xfId="1" applyNumberFormat="1" applyFont="1" applyBorder="1"/>
    <xf numFmtId="0" fontId="12" fillId="0" borderId="1" xfId="0" applyFont="1" applyBorder="1"/>
    <xf numFmtId="0" fontId="12" fillId="0" borderId="8" xfId="0" applyFont="1" applyBorder="1"/>
    <xf numFmtId="0" fontId="13" fillId="0" borderId="9" xfId="0" applyFont="1" applyBorder="1" applyAlignment="1">
      <alignment horizontal="center"/>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2" fillId="0" borderId="10" xfId="0" applyFont="1" applyBorder="1" applyAlignment="1">
      <alignment horizontal="center"/>
    </xf>
    <xf numFmtId="164" fontId="12" fillId="0" borderId="0" xfId="0" applyNumberFormat="1" applyFont="1" applyBorder="1"/>
    <xf numFmtId="166" fontId="12" fillId="0" borderId="10" xfId="6" applyNumberFormat="1" applyFont="1" applyBorder="1"/>
    <xf numFmtId="166" fontId="12" fillId="0" borderId="6" xfId="0" applyNumberFormat="1" applyFont="1" applyBorder="1"/>
    <xf numFmtId="166" fontId="0" fillId="0" borderId="0" xfId="0" applyNumberFormat="1"/>
    <xf numFmtId="166" fontId="12" fillId="0" borderId="0" xfId="0" applyNumberFormat="1" applyFont="1" applyBorder="1"/>
    <xf numFmtId="43" fontId="0" fillId="0" borderId="0" xfId="1" applyFont="1"/>
    <xf numFmtId="44" fontId="0" fillId="0" borderId="0" xfId="0" applyNumberFormat="1"/>
    <xf numFmtId="164" fontId="12" fillId="0" borderId="5" xfId="0" applyNumberFormat="1" applyFont="1" applyBorder="1"/>
    <xf numFmtId="164" fontId="0" fillId="0" borderId="0" xfId="0" applyNumberFormat="1"/>
    <xf numFmtId="164" fontId="13" fillId="0" borderId="10" xfId="0" applyNumberFormat="1" applyFont="1" applyBorder="1"/>
    <xf numFmtId="164" fontId="13" fillId="0" borderId="0" xfId="1" applyNumberFormat="1" applyFont="1" applyBorder="1"/>
    <xf numFmtId="164" fontId="13" fillId="0" borderId="6" xfId="1" applyNumberFormat="1" applyFont="1" applyBorder="1"/>
    <xf numFmtId="164" fontId="13" fillId="0" borderId="0" xfId="0" applyNumberFormat="1" applyFont="1" applyBorder="1"/>
    <xf numFmtId="164" fontId="13" fillId="0" borderId="11" xfId="0" applyNumberFormat="1" applyFont="1" applyBorder="1"/>
    <xf numFmtId="164" fontId="13" fillId="0" borderId="1" xfId="1" applyNumberFormat="1" applyFont="1" applyBorder="1"/>
    <xf numFmtId="164" fontId="13" fillId="0" borderId="8" xfId="1" applyNumberFormat="1" applyFont="1" applyBorder="1"/>
    <xf numFmtId="164" fontId="13" fillId="0" borderId="1" xfId="0" applyNumberFormat="1" applyFont="1" applyBorder="1"/>
    <xf numFmtId="166" fontId="12" fillId="0" borderId="11" xfId="6" applyNumberFormat="1" applyFont="1" applyBorder="1"/>
    <xf numFmtId="166" fontId="12" fillId="0" borderId="1" xfId="0" applyNumberFormat="1" applyFont="1" applyBorder="1"/>
    <xf numFmtId="0" fontId="12" fillId="0" borderId="0" xfId="0" applyFont="1"/>
    <xf numFmtId="0" fontId="12" fillId="0" borderId="0" xfId="0" applyFont="1" applyAlignment="1">
      <alignment horizontal="center"/>
    </xf>
    <xf numFmtId="164" fontId="12" fillId="0" borderId="0" xfId="1" applyNumberFormat="1" applyFont="1"/>
    <xf numFmtId="166" fontId="12" fillId="0" borderId="0" xfId="6" applyNumberFormat="1" applyFont="1"/>
    <xf numFmtId="0" fontId="8" fillId="0" borderId="0" xfId="0" applyFont="1"/>
    <xf numFmtId="43" fontId="0" fillId="0" borderId="0" xfId="0" applyNumberFormat="1"/>
    <xf numFmtId="0" fontId="0" fillId="0" borderId="0" xfId="0" applyFill="1" applyBorder="1"/>
    <xf numFmtId="0" fontId="0" fillId="0" borderId="0" xfId="0" applyFill="1" applyBorder="1" applyAlignment="1">
      <alignment horizontal="center"/>
    </xf>
    <xf numFmtId="164" fontId="8" fillId="0" borderId="0" xfId="1" applyNumberFormat="1" applyFill="1" applyBorder="1"/>
    <xf numFmtId="0" fontId="16" fillId="0" borderId="0" xfId="0" applyFont="1"/>
    <xf numFmtId="0" fontId="17" fillId="0" borderId="0" xfId="0" applyFont="1" applyFill="1" applyBorder="1" applyAlignment="1">
      <alignment horizontal="left"/>
    </xf>
    <xf numFmtId="3" fontId="8" fillId="0" borderId="0" xfId="0" applyNumberFormat="1" applyFont="1" applyBorder="1" applyAlignment="1">
      <alignment horizontal="center"/>
    </xf>
    <xf numFmtId="166" fontId="8" fillId="0" borderId="5" xfId="6" applyNumberFormat="1" applyFont="1" applyBorder="1" applyAlignment="1">
      <alignment horizontal="center"/>
    </xf>
    <xf numFmtId="0" fontId="6" fillId="0" borderId="0" xfId="0" applyNumberFormat="1" applyFont="1" applyFill="1" applyBorder="1" applyAlignment="1">
      <alignment horizontal="center"/>
    </xf>
    <xf numFmtId="0" fontId="20" fillId="0" borderId="0" xfId="0" applyFont="1"/>
    <xf numFmtId="0" fontId="8" fillId="0" borderId="0" xfId="0" applyFont="1" applyBorder="1"/>
    <xf numFmtId="0" fontId="17" fillId="0" borderId="0" xfId="0" applyNumberFormat="1" applyFont="1" applyFill="1" applyBorder="1" applyAlignment="1">
      <alignment horizontal="left"/>
    </xf>
    <xf numFmtId="0" fontId="21" fillId="0" borderId="0" xfId="0" applyFont="1"/>
    <xf numFmtId="0" fontId="16" fillId="3" borderId="4" xfId="0" applyFont="1" applyFill="1" applyBorder="1" applyAlignment="1">
      <alignment horizontal="center"/>
    </xf>
    <xf numFmtId="0" fontId="22" fillId="0" borderId="0" xfId="0" applyFont="1"/>
    <xf numFmtId="0" fontId="23" fillId="0" borderId="0" xfId="0" applyFont="1"/>
    <xf numFmtId="0" fontId="8" fillId="0" borderId="5" xfId="0" applyFont="1" applyBorder="1"/>
    <xf numFmtId="0" fontId="8" fillId="0" borderId="6" xfId="0" applyFont="1" applyBorder="1"/>
    <xf numFmtId="0" fontId="8" fillId="0" borderId="6" xfId="0" applyFont="1" applyFill="1" applyBorder="1"/>
    <xf numFmtId="0" fontId="8" fillId="0" borderId="7" xfId="0" applyFont="1" applyFill="1" applyBorder="1"/>
    <xf numFmtId="0" fontId="8" fillId="0" borderId="1" xfId="0" applyFont="1" applyFill="1" applyBorder="1"/>
    <xf numFmtId="0" fontId="8" fillId="0" borderId="1" xfId="0" applyFont="1" applyBorder="1"/>
    <xf numFmtId="0" fontId="8" fillId="0" borderId="8" xfId="0" applyFont="1" applyFill="1" applyBorder="1"/>
    <xf numFmtId="0" fontId="20" fillId="0" borderId="5" xfId="0" applyFont="1" applyBorder="1"/>
    <xf numFmtId="0" fontId="20" fillId="0" borderId="0" xfId="0" applyFont="1" applyBorder="1"/>
    <xf numFmtId="0" fontId="20" fillId="0" borderId="0" xfId="0" applyFont="1" applyBorder="1" applyAlignment="1">
      <alignment horizontal="center"/>
    </xf>
    <xf numFmtId="166" fontId="20" fillId="0" borderId="0" xfId="6" applyNumberFormat="1" applyFont="1" applyBorder="1" applyAlignment="1">
      <alignment horizontal="center"/>
    </xf>
    <xf numFmtId="0" fontId="20" fillId="0" borderId="6" xfId="0" applyFont="1" applyBorder="1" applyAlignment="1">
      <alignment horizontal="center"/>
    </xf>
    <xf numFmtId="166" fontId="20" fillId="0" borderId="0" xfId="0" applyNumberFormat="1" applyFont="1" applyBorder="1"/>
    <xf numFmtId="166" fontId="20" fillId="0" borderId="6" xfId="0" applyNumberFormat="1" applyFont="1" applyBorder="1"/>
    <xf numFmtId="166" fontId="20" fillId="0" borderId="0" xfId="6" applyNumberFormat="1" applyFont="1" applyBorder="1"/>
    <xf numFmtId="164" fontId="20" fillId="0" borderId="0" xfId="6" applyNumberFormat="1" applyFont="1" applyBorder="1"/>
    <xf numFmtId="0" fontId="20" fillId="0" borderId="12" xfId="0" applyFont="1" applyBorder="1"/>
    <xf numFmtId="166" fontId="20" fillId="0" borderId="12" xfId="6" applyNumberFormat="1" applyFont="1" applyBorder="1"/>
    <xf numFmtId="164" fontId="20" fillId="0" borderId="12" xfId="0" applyNumberFormat="1" applyFont="1" applyBorder="1"/>
    <xf numFmtId="166" fontId="20" fillId="0" borderId="13" xfId="0" applyNumberFormat="1" applyFont="1" applyBorder="1"/>
    <xf numFmtId="0" fontId="20" fillId="0" borderId="7" xfId="0" applyFont="1" applyBorder="1"/>
    <xf numFmtId="0" fontId="20" fillId="0" borderId="1" xfId="0" applyFont="1" applyBorder="1"/>
    <xf numFmtId="0" fontId="20" fillId="0" borderId="1" xfId="0" applyFont="1" applyFill="1" applyBorder="1"/>
    <xf numFmtId="166" fontId="20" fillId="0" borderId="1" xfId="0" applyNumberFormat="1" applyFont="1" applyBorder="1"/>
    <xf numFmtId="166" fontId="20" fillId="0" borderId="1" xfId="6" applyNumberFormat="1" applyFont="1" applyBorder="1"/>
    <xf numFmtId="166" fontId="20" fillId="0" borderId="8" xfId="0" applyNumberFormat="1" applyFont="1" applyFill="1" applyBorder="1"/>
    <xf numFmtId="0" fontId="22" fillId="0" borderId="0" xfId="0" applyFont="1" applyFill="1" applyBorder="1"/>
    <xf numFmtId="0" fontId="23" fillId="0" borderId="0" xfId="0" applyFont="1" applyFill="1" applyBorder="1"/>
    <xf numFmtId="0" fontId="20" fillId="0" borderId="5" xfId="0" applyFont="1" applyFill="1" applyBorder="1"/>
    <xf numFmtId="0" fontId="20" fillId="0" borderId="0" xfId="0" applyFont="1" applyFill="1" applyBorder="1"/>
    <xf numFmtId="166" fontId="20" fillId="0" borderId="0" xfId="6" applyNumberFormat="1" applyFont="1" applyFill="1" applyBorder="1"/>
    <xf numFmtId="0" fontId="18" fillId="0" borderId="5" xfId="0" applyFont="1" applyFill="1" applyBorder="1" applyAlignment="1">
      <alignment horizontal="center"/>
    </xf>
    <xf numFmtId="0" fontId="18" fillId="0" borderId="0" xfId="0" applyFont="1" applyFill="1" applyBorder="1" applyAlignment="1">
      <alignment horizontal="center"/>
    </xf>
    <xf numFmtId="0" fontId="18" fillId="0" borderId="6" xfId="0" applyFont="1" applyFill="1" applyBorder="1" applyAlignment="1">
      <alignment horizontal="center"/>
    </xf>
    <xf numFmtId="0" fontId="8" fillId="0" borderId="0" xfId="0" applyFont="1" applyFill="1" applyAlignment="1">
      <alignment vertical="center" wrapText="1"/>
    </xf>
    <xf numFmtId="0" fontId="0" fillId="0" borderId="0" xfId="0" applyAlignment="1">
      <alignment horizontal="right"/>
    </xf>
    <xf numFmtId="0" fontId="8" fillId="0" borderId="0" xfId="7"/>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1" fillId="0" borderId="0" xfId="0" applyFont="1" applyAlignment="1">
      <alignment horizontal="center"/>
    </xf>
    <xf numFmtId="0" fontId="21" fillId="0" borderId="0" xfId="0" applyFont="1" applyFill="1"/>
    <xf numFmtId="164" fontId="21" fillId="0" borderId="0" xfId="8" applyNumberFormat="1" applyFont="1"/>
    <xf numFmtId="10" fontId="21" fillId="0" borderId="0" xfId="12" applyNumberFormat="1" applyFont="1" applyFill="1"/>
    <xf numFmtId="0" fontId="25" fillId="6" borderId="0" xfId="0" applyFont="1" applyFill="1"/>
    <xf numFmtId="0" fontId="21" fillId="6" borderId="0" xfId="0" applyFont="1" applyFill="1"/>
    <xf numFmtId="0" fontId="21" fillId="0" borderId="0" xfId="0" applyFont="1" applyAlignment="1">
      <alignment wrapText="1"/>
    </xf>
    <xf numFmtId="0" fontId="21" fillId="0" borderId="0" xfId="0" applyFont="1" applyAlignment="1">
      <alignment horizontal="left"/>
    </xf>
    <xf numFmtId="0" fontId="21" fillId="0" borderId="0" xfId="0" applyNumberFormat="1" applyFont="1" applyFill="1" applyAlignment="1">
      <alignment horizontal="center"/>
    </xf>
    <xf numFmtId="0" fontId="21" fillId="0" borderId="0" xfId="0" applyNumberFormat="1" applyFont="1" applyFill="1" applyAlignment="1">
      <alignment horizontal="left"/>
    </xf>
    <xf numFmtId="3" fontId="7" fillId="0" borderId="0" xfId="0" applyNumberFormat="1" applyFont="1" applyBorder="1" applyAlignment="1"/>
    <xf numFmtId="0" fontId="21" fillId="0" borderId="0" xfId="0" applyFont="1" applyBorder="1" applyAlignment="1"/>
    <xf numFmtId="0" fontId="21" fillId="0" borderId="0" xfId="0" applyFont="1" applyAlignment="1"/>
    <xf numFmtId="3" fontId="21" fillId="0" borderId="0" xfId="0" applyNumberFormat="1" applyFont="1" applyBorder="1" applyAlignment="1">
      <alignment horizontal="left"/>
    </xf>
    <xf numFmtId="3" fontId="21" fillId="0" borderId="0" xfId="0" applyNumberFormat="1" applyFont="1" applyBorder="1" applyAlignment="1"/>
    <xf numFmtId="3" fontId="21" fillId="0" borderId="0" xfId="0" applyNumberFormat="1" applyFont="1" applyFill="1" applyBorder="1" applyAlignment="1"/>
    <xf numFmtId="0" fontId="21" fillId="0" borderId="0" xfId="0" applyNumberFormat="1" applyFont="1" applyAlignment="1">
      <alignment horizontal="center"/>
    </xf>
    <xf numFmtId="0" fontId="21" fillId="0" borderId="0" xfId="0" applyNumberFormat="1" applyFont="1" applyAlignment="1">
      <alignment horizontal="left"/>
    </xf>
    <xf numFmtId="0" fontId="21" fillId="0" borderId="12" xfId="0" applyFont="1" applyBorder="1" applyAlignment="1"/>
    <xf numFmtId="171" fontId="21" fillId="0" borderId="12" xfId="13" applyFont="1" applyBorder="1" applyAlignment="1">
      <alignment vertical="center"/>
    </xf>
    <xf numFmtId="3" fontId="21" fillId="0" borderId="12" xfId="0" applyNumberFormat="1" applyFont="1" applyBorder="1" applyAlignment="1">
      <alignment horizontal="left"/>
    </xf>
    <xf numFmtId="3" fontId="21" fillId="0" borderId="12" xfId="0" applyNumberFormat="1" applyFont="1" applyBorder="1" applyAlignment="1"/>
    <xf numFmtId="0" fontId="21" fillId="0" borderId="0" xfId="0" applyFont="1" applyBorder="1" applyAlignment="1">
      <alignment horizontal="left"/>
    </xf>
    <xf numFmtId="3" fontId="21" fillId="0" borderId="0" xfId="0" applyNumberFormat="1" applyFont="1" applyAlignment="1"/>
    <xf numFmtId="3" fontId="21" fillId="0" borderId="0" xfId="0" applyNumberFormat="1" applyFont="1" applyFill="1" applyAlignment="1"/>
    <xf numFmtId="3" fontId="7" fillId="0" borderId="0" xfId="0" applyNumberFormat="1" applyFont="1" applyAlignment="1">
      <alignment horizontal="left"/>
    </xf>
    <xf numFmtId="3" fontId="21" fillId="0" borderId="0" xfId="0" applyNumberFormat="1" applyFont="1" applyAlignment="1">
      <alignment horizontal="left"/>
    </xf>
    <xf numFmtId="0" fontId="21" fillId="0" borderId="0" xfId="0" applyNumberFormat="1" applyFont="1" applyAlignment="1"/>
    <xf numFmtId="0" fontId="7" fillId="0" borderId="0" xfId="0" applyNumberFormat="1" applyFont="1" applyAlignment="1">
      <alignment horizontal="left"/>
    </xf>
    <xf numFmtId="3" fontId="21" fillId="0" borderId="0" xfId="0" applyNumberFormat="1" applyFont="1" applyFill="1" applyAlignment="1">
      <alignment horizontal="left"/>
    </xf>
    <xf numFmtId="3" fontId="21" fillId="0" borderId="12" xfId="0" applyNumberFormat="1" applyFont="1" applyFill="1" applyBorder="1" applyAlignment="1"/>
    <xf numFmtId="3" fontId="21" fillId="0" borderId="12" xfId="0" applyNumberFormat="1" applyFont="1" applyFill="1" applyBorder="1" applyAlignment="1">
      <alignment horizontal="left"/>
    </xf>
    <xf numFmtId="0" fontId="21" fillId="0" borderId="0" xfId="0" applyFont="1" applyFill="1" applyBorder="1" applyAlignment="1">
      <alignment horizontal="left"/>
    </xf>
    <xf numFmtId="0" fontId="21" fillId="0" borderId="0" xfId="0" applyNumberFormat="1" applyFont="1" applyBorder="1"/>
    <xf numFmtId="0" fontId="21" fillId="0" borderId="0" xfId="0" applyFont="1" applyFill="1" applyAlignment="1">
      <alignment horizontal="left"/>
    </xf>
    <xf numFmtId="0" fontId="21" fillId="0" borderId="0" xfId="0" applyFont="1" applyFill="1" applyAlignment="1"/>
    <xf numFmtId="0" fontId="21" fillId="0" borderId="19" xfId="0" applyFont="1" applyFill="1" applyBorder="1" applyAlignment="1"/>
    <xf numFmtId="0" fontId="21" fillId="0" borderId="19" xfId="0" applyNumberFormat="1" applyFont="1" applyFill="1" applyBorder="1" applyAlignment="1"/>
    <xf numFmtId="3" fontId="21" fillId="0" borderId="19" xfId="0" applyNumberFormat="1" applyFont="1" applyFill="1" applyBorder="1" applyAlignment="1"/>
    <xf numFmtId="0" fontId="21" fillId="0" borderId="0" xfId="0" applyNumberFormat="1" applyFont="1" applyFill="1" applyAlignment="1"/>
    <xf numFmtId="0" fontId="21" fillId="0" borderId="19" xfId="0" applyFont="1" applyBorder="1" applyAlignment="1"/>
    <xf numFmtId="0" fontId="7" fillId="0" borderId="19" xfId="0" applyNumberFormat="1" applyFont="1" applyBorder="1" applyAlignment="1"/>
    <xf numFmtId="0" fontId="21" fillId="0" borderId="19" xfId="0" applyFont="1" applyBorder="1" applyAlignment="1">
      <alignment horizontal="left"/>
    </xf>
    <xf numFmtId="3" fontId="21" fillId="0" borderId="19" xfId="0" applyNumberFormat="1" applyFont="1" applyBorder="1" applyAlignment="1"/>
    <xf numFmtId="3" fontId="21" fillId="0" borderId="0" xfId="0" applyNumberFormat="1" applyFont="1" applyFill="1" applyAlignment="1">
      <alignment horizontal="center"/>
    </xf>
    <xf numFmtId="0" fontId="21" fillId="0" borderId="0" xfId="0" applyNumberFormat="1" applyFont="1" applyFill="1" applyBorder="1" applyAlignment="1"/>
    <xf numFmtId="0" fontId="21" fillId="0" borderId="0" xfId="0" applyNumberFormat="1" applyFont="1" applyBorder="1" applyAlignment="1">
      <alignment horizontal="left"/>
    </xf>
    <xf numFmtId="172" fontId="21" fillId="0" borderId="0" xfId="0" applyNumberFormat="1" applyFont="1" applyFill="1" applyAlignment="1"/>
    <xf numFmtId="173" fontId="21" fillId="0" borderId="0" xfId="8" applyNumberFormat="1" applyFont="1" applyFill="1" applyBorder="1" applyAlignment="1"/>
    <xf numFmtId="3" fontId="21" fillId="0" borderId="0" xfId="0" quotePrefix="1" applyNumberFormat="1" applyFont="1" applyAlignment="1">
      <alignment horizontal="right"/>
    </xf>
    <xf numFmtId="172" fontId="21" fillId="0" borderId="0" xfId="0" applyNumberFormat="1" applyFont="1" applyAlignment="1"/>
    <xf numFmtId="0" fontId="21" fillId="0" borderId="0" xfId="0" applyFont="1" applyAlignment="1">
      <alignment horizontal="right"/>
    </xf>
    <xf numFmtId="0" fontId="21" fillId="0" borderId="12" xfId="0" applyNumberFormat="1" applyFont="1" applyBorder="1" applyAlignment="1">
      <alignment horizontal="left"/>
    </xf>
    <xf numFmtId="0" fontId="21" fillId="0" borderId="12" xfId="0" applyNumberFormat="1" applyFont="1" applyBorder="1" applyAlignment="1"/>
    <xf numFmtId="3" fontId="21" fillId="0" borderId="12" xfId="0" applyNumberFormat="1" applyFont="1" applyBorder="1" applyAlignment="1">
      <alignment horizontal="right"/>
    </xf>
    <xf numFmtId="172" fontId="21"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2"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1" fillId="0" borderId="20" xfId="0" applyFont="1" applyBorder="1"/>
    <xf numFmtId="3" fontId="7" fillId="0" borderId="20" xfId="0" applyNumberFormat="1" applyFont="1" applyBorder="1" applyAlignment="1">
      <alignment horizontal="left"/>
    </xf>
    <xf numFmtId="174" fontId="7" fillId="0" borderId="20" xfId="0" applyNumberFormat="1" applyFont="1" applyBorder="1" applyAlignment="1">
      <alignment horizontal="center"/>
    </xf>
    <xf numFmtId="3" fontId="7" fillId="0" borderId="20" xfId="0" applyNumberFormat="1" applyFont="1" applyBorder="1" applyAlignment="1"/>
    <xf numFmtId="0" fontId="27" fillId="6" borderId="0" xfId="0" applyFont="1" applyFill="1" applyAlignment="1">
      <alignment horizontal="left"/>
    </xf>
    <xf numFmtId="0" fontId="27" fillId="6" borderId="0" xfId="0" applyFont="1" applyFill="1" applyAlignment="1"/>
    <xf numFmtId="0" fontId="28" fillId="6" borderId="0" xfId="0" applyNumberFormat="1" applyFont="1" applyFill="1" applyAlignment="1">
      <alignment horizontal="left"/>
    </xf>
    <xf numFmtId="0" fontId="21" fillId="6" borderId="0" xfId="0" applyFont="1" applyFill="1" applyAlignment="1"/>
    <xf numFmtId="0" fontId="28" fillId="6" borderId="0" xfId="0" applyNumberFormat="1" applyFont="1" applyFill="1" applyAlignment="1">
      <alignment horizontal="center"/>
    </xf>
    <xf numFmtId="0" fontId="21" fillId="6" borderId="0" xfId="0" applyFont="1" applyFill="1" applyBorder="1" applyAlignment="1">
      <alignment horizontal="center" wrapText="1"/>
    </xf>
    <xf numFmtId="0" fontId="7" fillId="0" borderId="0" xfId="0" applyNumberFormat="1" applyFont="1" applyFill="1" applyAlignment="1"/>
    <xf numFmtId="3" fontId="21" fillId="0" borderId="0" xfId="0" applyNumberFormat="1" applyFont="1" applyAlignment="1">
      <alignment horizontal="center"/>
    </xf>
    <xf numFmtId="165" fontId="7" fillId="0" borderId="0" xfId="12" applyNumberFormat="1" applyFont="1" applyAlignment="1"/>
    <xf numFmtId="174" fontId="21" fillId="0" borderId="0" xfId="0" applyNumberFormat="1" applyFont="1" applyAlignment="1">
      <alignment horizontal="center"/>
    </xf>
    <xf numFmtId="0" fontId="30" fillId="0" borderId="0" xfId="0" applyNumberFormat="1" applyFont="1" applyFill="1"/>
    <xf numFmtId="10" fontId="30" fillId="0" borderId="0" xfId="0" applyNumberFormat="1" applyFont="1" applyFill="1"/>
    <xf numFmtId="168" fontId="21" fillId="0" borderId="0" xfId="0" applyNumberFormat="1" applyFont="1" applyAlignment="1"/>
    <xf numFmtId="167" fontId="21" fillId="0" borderId="0" xfId="0" applyNumberFormat="1" applyFont="1" applyAlignment="1">
      <alignment horizontal="left"/>
    </xf>
    <xf numFmtId="167" fontId="21" fillId="0" borderId="0" xfId="0" applyNumberFormat="1" applyFont="1" applyAlignment="1">
      <alignment horizontal="center"/>
    </xf>
    <xf numFmtId="10" fontId="21" fillId="0" borderId="0" xfId="0" applyNumberFormat="1" applyFont="1" applyFill="1" applyAlignment="1">
      <alignment horizontal="right"/>
    </xf>
    <xf numFmtId="10" fontId="21" fillId="0" borderId="0" xfId="12" applyNumberFormat="1" applyFont="1" applyFill="1" applyAlignment="1"/>
    <xf numFmtId="0" fontId="21" fillId="0" borderId="0" xfId="0" applyNumberFormat="1" applyFont="1" applyBorder="1" applyAlignment="1">
      <alignment horizontal="center"/>
    </xf>
    <xf numFmtId="0" fontId="31" fillId="0" borderId="12" xfId="0" applyNumberFormat="1" applyFont="1" applyFill="1" applyBorder="1" applyAlignment="1">
      <alignment horizontal="left"/>
    </xf>
    <xf numFmtId="0" fontId="21" fillId="0" borderId="12" xfId="0" applyFont="1" applyFill="1" applyBorder="1" applyAlignment="1">
      <alignment horizontal="left"/>
    </xf>
    <xf numFmtId="0" fontId="21" fillId="0" borderId="12" xfId="0" applyNumberFormat="1" applyFont="1" applyBorder="1" applyAlignment="1">
      <alignment horizontal="center"/>
    </xf>
    <xf numFmtId="3" fontId="32" fillId="0" borderId="0" xfId="0" applyNumberFormat="1" applyFont="1" applyBorder="1" applyAlignment="1">
      <alignment horizontal="right"/>
    </xf>
    <xf numFmtId="0" fontId="33" fillId="0" borderId="19" xfId="0" applyNumberFormat="1" applyFont="1" applyFill="1" applyBorder="1" applyAlignment="1">
      <alignment horizontal="center"/>
    </xf>
    <xf numFmtId="3" fontId="32" fillId="0" borderId="19" xfId="0" applyNumberFormat="1" applyFont="1" applyBorder="1" applyAlignment="1">
      <alignment horizontal="right"/>
    </xf>
    <xf numFmtId="0" fontId="7" fillId="0" borderId="0" xfId="0" applyNumberFormat="1" applyFont="1" applyBorder="1" applyAlignment="1">
      <alignment horizontal="left"/>
    </xf>
    <xf numFmtId="0" fontId="21" fillId="0" borderId="0" xfId="0" applyFont="1" applyFill="1" applyBorder="1" applyAlignment="1"/>
    <xf numFmtId="0" fontId="7" fillId="0" borderId="0" xfId="0" applyFont="1"/>
    <xf numFmtId="164" fontId="21" fillId="0" borderId="0" xfId="8" applyNumberFormat="1" applyFont="1" applyFill="1" applyAlignment="1"/>
    <xf numFmtId="0" fontId="21" fillId="0" borderId="0" xfId="0" applyNumberFormat="1" applyFont="1" applyFill="1" applyBorder="1" applyAlignment="1">
      <alignment horizontal="center"/>
    </xf>
    <xf numFmtId="3" fontId="31"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4" fontId="7" fillId="0" borderId="20" xfId="0" applyNumberFormat="1" applyFont="1" applyBorder="1" applyAlignment="1"/>
    <xf numFmtId="3" fontId="21" fillId="0" borderId="0" xfId="0" applyNumberFormat="1" applyFont="1" applyFill="1" applyAlignment="1">
      <alignment horizontal="right"/>
    </xf>
    <xf numFmtId="174" fontId="21" fillId="0" borderId="0" xfId="0" applyNumberFormat="1" applyFont="1" applyAlignment="1"/>
    <xf numFmtId="175" fontId="21"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4"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164" fontId="0" fillId="2" borderId="0" xfId="8" applyNumberFormat="1" applyFont="1" applyFill="1" applyAlignment="1"/>
    <xf numFmtId="0" fontId="37"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0"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0" fillId="0" borderId="0" xfId="8" applyNumberFormat="1" applyFont="1" applyFill="1" applyAlignment="1"/>
    <xf numFmtId="0" fontId="20"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37" fontId="8" fillId="0" borderId="0" xfId="14" applyNumberFormat="1" applyFill="1"/>
    <xf numFmtId="0" fontId="8" fillId="0" borderId="0" xfId="16"/>
    <xf numFmtId="0" fontId="7" fillId="0" borderId="0" xfId="15" applyFont="1" applyFill="1" applyAlignment="1">
      <alignment horizontal="center" wrapText="1"/>
    </xf>
    <xf numFmtId="0" fontId="8" fillId="0" borderId="0" xfId="16" applyFill="1"/>
    <xf numFmtId="0" fontId="39" fillId="0" borderId="0" xfId="15" applyFont="1" applyFill="1" applyAlignment="1">
      <alignment horizontal="center"/>
    </xf>
    <xf numFmtId="0" fontId="8" fillId="0" borderId="0" xfId="15" applyFill="1"/>
    <xf numFmtId="0" fontId="20" fillId="0" borderId="0" xfId="16" applyFont="1"/>
    <xf numFmtId="0" fontId="37" fillId="0" borderId="0" xfId="15" applyFont="1" applyFill="1"/>
    <xf numFmtId="42" fontId="8" fillId="0" borderId="0" xfId="14" applyNumberFormat="1" applyFill="1"/>
    <xf numFmtId="0" fontId="8" fillId="0" borderId="0" xfId="14"/>
    <xf numFmtId="0" fontId="8" fillId="0" borderId="0" xfId="14" applyFill="1"/>
    <xf numFmtId="42" fontId="8" fillId="0" borderId="21" xfId="14" applyNumberFormat="1" applyFill="1" applyBorder="1"/>
    <xf numFmtId="176" fontId="8" fillId="0" borderId="0" xfId="17" applyNumberFormat="1" applyFont="1"/>
    <xf numFmtId="42" fontId="8" fillId="0" borderId="0" xfId="14" applyNumberFormat="1" applyFill="1" applyBorder="1"/>
    <xf numFmtId="0" fontId="40" fillId="0" borderId="0" xfId="14" applyFont="1" applyFill="1"/>
    <xf numFmtId="177" fontId="8" fillId="0" borderId="0" xfId="14" applyNumberFormat="1" applyFill="1"/>
    <xf numFmtId="178" fontId="8" fillId="0" borderId="0" xfId="18" applyNumberFormat="1" applyFont="1"/>
    <xf numFmtId="177" fontId="8" fillId="0" borderId="0" xfId="14" applyNumberFormat="1" applyFont="1" applyFill="1"/>
    <xf numFmtId="177" fontId="8" fillId="0" borderId="12" xfId="14" applyNumberFormat="1" applyFont="1" applyFill="1" applyBorder="1"/>
    <xf numFmtId="0" fontId="39" fillId="0" borderId="0" xfId="14" applyFont="1" applyFill="1"/>
    <xf numFmtId="0" fontId="37" fillId="0" borderId="0" xfId="14" applyFont="1" applyFill="1"/>
    <xf numFmtId="0" fontId="41" fillId="0" borderId="0" xfId="14" applyFont="1" applyFill="1"/>
    <xf numFmtId="42" fontId="8" fillId="0" borderId="0" xfId="14" applyNumberFormat="1" applyFont="1" applyFill="1"/>
    <xf numFmtId="43" fontId="8" fillId="0" borderId="0" xfId="8" applyFont="1"/>
    <xf numFmtId="44" fontId="8" fillId="0" borderId="0" xfId="14" applyNumberFormat="1"/>
    <xf numFmtId="0" fontId="2" fillId="0" borderId="0" xfId="14" applyFont="1" applyAlignment="1">
      <alignment horizontal="center"/>
    </xf>
    <xf numFmtId="42" fontId="8" fillId="0" borderId="19" xfId="14" applyNumberFormat="1" applyFill="1" applyBorder="1"/>
    <xf numFmtId="0" fontId="37" fillId="0" borderId="2" xfId="14" applyFont="1" applyFill="1" applyBorder="1"/>
    <xf numFmtId="37" fontId="8" fillId="0" borderId="3" xfId="14" applyNumberFormat="1" applyFill="1" applyBorder="1"/>
    <xf numFmtId="0" fontId="8" fillId="0" borderId="5" xfId="14" applyFill="1" applyBorder="1"/>
    <xf numFmtId="42" fontId="8" fillId="0" borderId="6" xfId="14" applyNumberFormat="1" applyFill="1" applyBorder="1"/>
    <xf numFmtId="0" fontId="8" fillId="0" borderId="0" xfId="14" applyFont="1"/>
    <xf numFmtId="42" fontId="8" fillId="0" borderId="13" xfId="14" applyNumberFormat="1" applyFill="1" applyBorder="1"/>
    <xf numFmtId="176" fontId="8" fillId="0" borderId="6" xfId="17" applyNumberFormat="1" applyFont="1" applyFill="1" applyBorder="1"/>
    <xf numFmtId="0" fontId="8" fillId="0" borderId="7" xfId="14" applyFill="1" applyBorder="1"/>
    <xf numFmtId="176" fontId="8" fillId="0" borderId="8" xfId="17" applyNumberFormat="1" applyFont="1" applyFill="1" applyBorder="1"/>
    <xf numFmtId="0" fontId="8" fillId="0" borderId="0" xfId="14" quotePrefix="1" applyFont="1" applyFill="1"/>
    <xf numFmtId="0" fontId="42" fillId="0" borderId="0" xfId="0" applyFont="1" applyFill="1" applyAlignment="1">
      <alignment horizontal="center"/>
    </xf>
    <xf numFmtId="0" fontId="42" fillId="0" borderId="0" xfId="0" applyFont="1"/>
    <xf numFmtId="0" fontId="43" fillId="0" borderId="0" xfId="0" applyFont="1" applyFill="1" applyAlignment="1">
      <alignment horizontal="center"/>
    </xf>
    <xf numFmtId="0" fontId="42" fillId="0" borderId="0" xfId="0" applyFont="1" applyAlignment="1">
      <alignment horizontal="center"/>
    </xf>
    <xf numFmtId="0" fontId="42" fillId="0" borderId="0" xfId="0" applyFont="1" applyFill="1" applyAlignment="1">
      <alignment horizontal="right"/>
    </xf>
    <xf numFmtId="0" fontId="42" fillId="0" borderId="0" xfId="0" applyFont="1" applyBorder="1" applyAlignment="1">
      <alignment horizontal="center"/>
    </xf>
    <xf numFmtId="0" fontId="0" fillId="2" borderId="0" xfId="0" applyFill="1" applyAlignment="1">
      <alignment horizontal="left" wrapText="1"/>
    </xf>
    <xf numFmtId="9" fontId="0" fillId="2" borderId="0" xfId="12" applyFont="1" applyFill="1" applyAlignment="1">
      <alignment horizontal="center" wrapText="1"/>
    </xf>
    <xf numFmtId="42" fontId="0" fillId="0" borderId="0" xfId="0" applyNumberFormat="1"/>
    <xf numFmtId="0" fontId="8" fillId="2" borderId="0" xfId="0" applyFont="1" applyFill="1"/>
    <xf numFmtId="37" fontId="0" fillId="2" borderId="0" xfId="0" applyNumberFormat="1" applyFill="1" applyAlignment="1">
      <alignment horizontal="right" wrapText="1"/>
    </xf>
    <xf numFmtId="44" fontId="0" fillId="2" borderId="0" xfId="10" applyFont="1" applyFill="1" applyAlignment="1">
      <alignment horizontal="right" wrapText="1"/>
    </xf>
    <xf numFmtId="0" fontId="0" fillId="2" borderId="0" xfId="0" applyFill="1" applyAlignment="1">
      <alignment horizontal="right" wrapText="1"/>
    </xf>
    <xf numFmtId="37" fontId="0" fillId="0" borderId="0" xfId="0" applyNumberFormat="1" applyAlignment="1">
      <alignment horizontal="right" wrapText="1"/>
    </xf>
    <xf numFmtId="0" fontId="0" fillId="0" borderId="0" xfId="0" applyAlignment="1">
      <alignment horizontal="right" wrapText="1"/>
    </xf>
    <xf numFmtId="0" fontId="42" fillId="0" borderId="0" xfId="0" applyNumberFormat="1" applyFont="1" applyFill="1" applyBorder="1" applyAlignment="1">
      <alignment horizontal="center"/>
    </xf>
    <xf numFmtId="0" fontId="0" fillId="2" borderId="0" xfId="0" applyFill="1" applyAlignment="1">
      <alignment horizontal="right"/>
    </xf>
    <xf numFmtId="0" fontId="0" fillId="2" borderId="0" xfId="0" applyFill="1" applyAlignment="1">
      <alignment horizontal="left" vertical="center" wrapText="1"/>
    </xf>
    <xf numFmtId="0" fontId="8" fillId="0" borderId="0" xfId="0" applyNumberFormat="1" applyFont="1" applyFill="1" applyBorder="1" applyAlignment="1">
      <alignment horizontal="left"/>
    </xf>
    <xf numFmtId="0" fontId="42" fillId="0" borderId="0" xfId="0" applyFont="1" applyFill="1"/>
    <xf numFmtId="0" fontId="0" fillId="0" borderId="0" xfId="0" applyFill="1" applyAlignment="1">
      <alignment horizontal="right"/>
    </xf>
    <xf numFmtId="0" fontId="0" fillId="2" borderId="0" xfId="0" applyFill="1" applyBorder="1"/>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41" fontId="0" fillId="0" borderId="0" xfId="0" applyNumberFormat="1" applyFill="1" applyAlignment="1">
      <alignment horizontal="right"/>
    </xf>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45" fillId="0" borderId="0" xfId="0" applyFont="1" applyAlignment="1">
      <alignment horizontal="center"/>
    </xf>
    <xf numFmtId="0" fontId="46" fillId="0" borderId="0" xfId="0" applyFont="1" applyBorder="1" applyAlignment="1">
      <alignment horizontal="center"/>
    </xf>
    <xf numFmtId="0" fontId="47" fillId="0" borderId="0" xfId="0" applyFont="1" applyFill="1" applyAlignment="1">
      <alignment horizontal="left"/>
    </xf>
    <xf numFmtId="0" fontId="47" fillId="0" borderId="0" xfId="0" applyFont="1" applyFill="1" applyAlignment="1"/>
    <xf numFmtId="0" fontId="47" fillId="0" borderId="0" xfId="0" applyFont="1" applyFill="1" applyAlignment="1">
      <alignment horizontal="center"/>
    </xf>
    <xf numFmtId="0" fontId="47" fillId="0" borderId="0" xfId="0" applyFont="1" applyFill="1"/>
    <xf numFmtId="0" fontId="45" fillId="7" borderId="2" xfId="0" applyFont="1" applyFill="1" applyBorder="1" applyAlignment="1">
      <alignment horizontal="left"/>
    </xf>
    <xf numFmtId="0" fontId="21" fillId="7" borderId="4" xfId="0" applyFont="1" applyFill="1" applyBorder="1" applyAlignment="1"/>
    <xf numFmtId="0" fontId="21" fillId="7" borderId="4" xfId="0" applyFont="1" applyFill="1" applyBorder="1" applyAlignment="1">
      <alignment horizontal="center"/>
    </xf>
    <xf numFmtId="0" fontId="21" fillId="7" borderId="3" xfId="0" applyFont="1" applyFill="1" applyBorder="1"/>
    <xf numFmtId="0" fontId="45" fillId="7" borderId="7" xfId="0" applyFont="1" applyFill="1" applyBorder="1" applyAlignment="1">
      <alignment horizontal="left"/>
    </xf>
    <xf numFmtId="0" fontId="28" fillId="7" borderId="1" xfId="0" applyFont="1" applyFill="1" applyBorder="1" applyAlignment="1"/>
    <xf numFmtId="0" fontId="7" fillId="7" borderId="1" xfId="0" applyFont="1" applyFill="1" applyBorder="1" applyAlignment="1"/>
    <xf numFmtId="0" fontId="28"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45" fillId="0" borderId="0" xfId="0" applyFont="1" applyFill="1" applyBorder="1" applyAlignment="1">
      <alignment horizontal="left"/>
    </xf>
    <xf numFmtId="0" fontId="28" fillId="0" borderId="0" xfId="0" applyFont="1" applyFill="1" applyBorder="1" applyAlignment="1"/>
    <xf numFmtId="0" fontId="7" fillId="0" borderId="0" xfId="0" applyFont="1" applyFill="1" applyBorder="1" applyAlignment="1"/>
    <xf numFmtId="0" fontId="28"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48" fillId="6" borderId="0" xfId="0" applyFont="1" applyFill="1" applyBorder="1" applyAlignment="1">
      <alignment horizontal="left"/>
    </xf>
    <xf numFmtId="0" fontId="48" fillId="6" borderId="0" xfId="0" applyFont="1" applyFill="1" applyBorder="1" applyAlignment="1"/>
    <xf numFmtId="0" fontId="21" fillId="6" borderId="0" xfId="0" applyFont="1" applyFill="1" applyBorder="1" applyAlignment="1"/>
    <xf numFmtId="0" fontId="28" fillId="6" borderId="0" xfId="0" applyNumberFormat="1" applyFont="1" applyFill="1" applyBorder="1" applyAlignment="1">
      <alignment horizontal="center"/>
    </xf>
    <xf numFmtId="0" fontId="21" fillId="6" borderId="0" xfId="0" applyFont="1" applyFill="1" applyBorder="1"/>
    <xf numFmtId="0" fontId="21" fillId="0" borderId="0" xfId="0" applyFont="1" applyFill="1" applyBorder="1"/>
    <xf numFmtId="0" fontId="21" fillId="0" borderId="0" xfId="0" applyFont="1" applyFill="1" applyBorder="1" applyAlignment="1">
      <alignment horizontal="center" wrapText="1"/>
    </xf>
    <xf numFmtId="0" fontId="21" fillId="0" borderId="0" xfId="0" applyFont="1" applyFill="1" applyAlignment="1">
      <alignment horizontal="center"/>
    </xf>
    <xf numFmtId="166" fontId="21" fillId="2" borderId="0" xfId="10" applyNumberFormat="1" applyFont="1" applyFill="1"/>
    <xf numFmtId="166" fontId="21" fillId="2" borderId="0" xfId="0" applyNumberFormat="1" applyFont="1" applyFill="1" applyAlignment="1"/>
    <xf numFmtId="0" fontId="21" fillId="0" borderId="19" xfId="0" applyNumberFormat="1" applyFont="1" applyBorder="1" applyAlignment="1"/>
    <xf numFmtId="3" fontId="21" fillId="0" borderId="19" xfId="0" applyNumberFormat="1" applyFont="1" applyBorder="1" applyAlignment="1">
      <alignment horizontal="center"/>
    </xf>
    <xf numFmtId="0" fontId="21" fillId="0" borderId="20" xfId="0" applyNumberFormat="1" applyFont="1" applyFill="1" applyBorder="1" applyAlignment="1"/>
    <xf numFmtId="0" fontId="21" fillId="0" borderId="20" xfId="0" applyFont="1" applyFill="1" applyBorder="1" applyAlignment="1"/>
    <xf numFmtId="3" fontId="21" fillId="0" borderId="20" xfId="0" applyNumberFormat="1" applyFont="1" applyBorder="1" applyAlignment="1"/>
    <xf numFmtId="0" fontId="21" fillId="0" borderId="20" xfId="0" applyFont="1" applyBorder="1" applyAlignment="1"/>
    <xf numFmtId="165" fontId="21" fillId="0" borderId="0" xfId="12" applyNumberFormat="1" applyFont="1" applyAlignment="1"/>
    <xf numFmtId="0" fontId="21" fillId="0" borderId="19" xfId="0" applyFont="1" applyFill="1" applyBorder="1"/>
    <xf numFmtId="0" fontId="21" fillId="0" borderId="19" xfId="0" applyFont="1" applyBorder="1"/>
    <xf numFmtId="3" fontId="21" fillId="2" borderId="0" xfId="0" applyNumberFormat="1" applyFont="1" applyFill="1" applyAlignment="1"/>
    <xf numFmtId="0" fontId="21" fillId="0" borderId="19" xfId="0" applyFont="1" applyBorder="1" applyAlignment="1">
      <alignment horizontal="center"/>
    </xf>
    <xf numFmtId="3" fontId="21" fillId="0" borderId="0" xfId="0" applyNumberFormat="1" applyFont="1"/>
    <xf numFmtId="0" fontId="21" fillId="0" borderId="20" xfId="0" applyFont="1" applyBorder="1" applyAlignment="1">
      <alignment horizontal="center"/>
    </xf>
    <xf numFmtId="3" fontId="21" fillId="0" borderId="0" xfId="0" applyNumberFormat="1" applyFont="1" applyFill="1"/>
    <xf numFmtId="0" fontId="49" fillId="6" borderId="0" xfId="0" applyFont="1" applyFill="1" applyBorder="1" applyAlignment="1">
      <alignment horizontal="left"/>
    </xf>
    <xf numFmtId="0" fontId="49" fillId="6" borderId="0" xfId="0" applyFont="1" applyFill="1" applyBorder="1" applyAlignment="1"/>
    <xf numFmtId="0" fontId="49" fillId="0" borderId="0" xfId="0" applyFont="1" applyFill="1" applyBorder="1" applyAlignment="1">
      <alignment horizontal="center"/>
    </xf>
    <xf numFmtId="0" fontId="49" fillId="0" borderId="0" xfId="0" applyFont="1" applyFill="1" applyBorder="1" applyAlignment="1"/>
    <xf numFmtId="0" fontId="21" fillId="0" borderId="12" xfId="0" applyFont="1" applyBorder="1" applyAlignment="1">
      <alignment horizontal="center"/>
    </xf>
    <xf numFmtId="3" fontId="21" fillId="2" borderId="0" xfId="0" applyNumberFormat="1" applyFont="1" applyFill="1" applyBorder="1" applyAlignment="1"/>
    <xf numFmtId="0" fontId="31" fillId="0" borderId="0" xfId="0" applyNumberFormat="1" applyFont="1" applyFill="1" applyAlignment="1">
      <alignment horizontal="left"/>
    </xf>
    <xf numFmtId="0" fontId="21" fillId="0" borderId="0" xfId="0" applyNumberFormat="1" applyFont="1" applyAlignment="1">
      <alignment horizontal="right"/>
    </xf>
    <xf numFmtId="0" fontId="33" fillId="0" borderId="19" xfId="0" applyFont="1" applyFill="1" applyBorder="1" applyAlignment="1"/>
    <xf numFmtId="3" fontId="21" fillId="2" borderId="19" xfId="0" applyNumberFormat="1" applyFont="1" applyFill="1" applyBorder="1" applyAlignment="1"/>
    <xf numFmtId="3" fontId="21" fillId="0" borderId="20" xfId="0" applyNumberFormat="1" applyFont="1" applyBorder="1"/>
    <xf numFmtId="0" fontId="33" fillId="0" borderId="12" xfId="0" applyFont="1" applyFill="1" applyBorder="1" applyAlignment="1">
      <alignment horizontal="center"/>
    </xf>
    <xf numFmtId="0" fontId="21" fillId="0" borderId="0" xfId="0" applyNumberFormat="1" applyFont="1" applyBorder="1" applyAlignment="1"/>
    <xf numFmtId="0" fontId="50" fillId="0" borderId="0" xfId="0" applyFont="1" applyAlignment="1">
      <alignment horizontal="left"/>
    </xf>
    <xf numFmtId="0" fontId="50" fillId="0" borderId="0" xfId="0" applyFont="1"/>
    <xf numFmtId="0" fontId="21" fillId="0" borderId="0" xfId="0" applyNumberFormat="1" applyFont="1" applyFill="1" applyBorder="1" applyAlignment="1">
      <alignment horizontal="left"/>
    </xf>
    <xf numFmtId="0" fontId="31" fillId="0" borderId="0" xfId="0" applyNumberFormat="1" applyFont="1" applyFill="1" applyBorder="1" applyAlignment="1">
      <alignment horizontal="left"/>
    </xf>
    <xf numFmtId="0" fontId="21" fillId="0" borderId="19" xfId="0" applyNumberFormat="1" applyFont="1" applyFill="1" applyBorder="1" applyAlignment="1">
      <alignment horizontal="left"/>
    </xf>
    <xf numFmtId="3" fontId="21" fillId="0" borderId="19" xfId="0" applyNumberFormat="1" applyFont="1" applyFill="1" applyBorder="1" applyAlignment="1">
      <alignment horizontal="right"/>
    </xf>
    <xf numFmtId="0" fontId="21" fillId="0" borderId="0" xfId="0" applyFont="1" applyBorder="1"/>
    <xf numFmtId="3" fontId="21" fillId="0" borderId="0" xfId="0" applyNumberFormat="1" applyFont="1" applyFill="1" applyBorder="1" applyAlignment="1">
      <alignment horizontal="right"/>
    </xf>
    <xf numFmtId="3" fontId="21" fillId="2" borderId="0" xfId="0" applyNumberFormat="1" applyFont="1" applyFill="1" applyBorder="1" applyAlignment="1">
      <alignment horizontal="right"/>
    </xf>
    <xf numFmtId="0" fontId="21" fillId="0" borderId="0" xfId="0" applyFont="1" applyAlignment="1">
      <alignment vertical="center"/>
    </xf>
    <xf numFmtId="0" fontId="1" fillId="0" borderId="0" xfId="0" applyFont="1" applyAlignment="1">
      <alignment vertical="center"/>
    </xf>
    <xf numFmtId="0" fontId="51" fillId="0" borderId="0" xfId="0" applyFont="1" applyAlignment="1">
      <alignment vertical="center"/>
    </xf>
    <xf numFmtId="0" fontId="21" fillId="0" borderId="0" xfId="0" applyNumberFormat="1" applyFont="1" applyFill="1" applyAlignment="1">
      <alignment horizontal="right"/>
    </xf>
    <xf numFmtId="3" fontId="31" fillId="0" borderId="0" xfId="0" applyNumberFormat="1" applyFont="1" applyFill="1" applyBorder="1" applyAlignment="1">
      <alignment horizontal="right"/>
    </xf>
    <xf numFmtId="4" fontId="32" fillId="0" borderId="0" xfId="0" applyNumberFormat="1" applyFont="1" applyFill="1" applyAlignment="1">
      <alignment horizontal="right"/>
    </xf>
    <xf numFmtId="3" fontId="32" fillId="0" borderId="0" xfId="0" applyNumberFormat="1" applyFont="1" applyAlignment="1">
      <alignment horizontal="right"/>
    </xf>
    <xf numFmtId="0" fontId="52" fillId="0" borderId="0" xfId="0" applyNumberFormat="1" applyFont="1" applyFill="1" applyAlignment="1">
      <alignment horizontal="left"/>
    </xf>
    <xf numFmtId="0" fontId="21" fillId="0" borderId="12" xfId="0" applyNumberFormat="1" applyFont="1" applyFill="1" applyBorder="1" applyAlignment="1">
      <alignment horizontal="left"/>
    </xf>
    <xf numFmtId="3" fontId="32" fillId="0" borderId="0" xfId="0" applyNumberFormat="1" applyFont="1" applyFill="1" applyAlignment="1">
      <alignment horizontal="right"/>
    </xf>
    <xf numFmtId="3" fontId="21" fillId="0" borderId="19" xfId="0" applyNumberFormat="1" applyFont="1" applyBorder="1" applyAlignment="1">
      <alignment horizontal="right"/>
    </xf>
    <xf numFmtId="165" fontId="21" fillId="0" borderId="0" xfId="0" applyNumberFormat="1" applyFont="1" applyAlignment="1">
      <alignment horizontal="right"/>
    </xf>
    <xf numFmtId="3" fontId="21" fillId="2" borderId="0" xfId="0" applyNumberFormat="1" applyFont="1" applyFill="1" applyAlignment="1">
      <alignment horizontal="right"/>
    </xf>
    <xf numFmtId="0" fontId="21" fillId="0" borderId="12" xfId="0" applyNumberFormat="1" applyFont="1" applyFill="1" applyBorder="1" applyAlignment="1">
      <alignment horizontal="center"/>
    </xf>
    <xf numFmtId="3" fontId="32" fillId="0" borderId="12" xfId="0" applyNumberFormat="1" applyFont="1" applyBorder="1" applyAlignment="1">
      <alignment horizontal="right"/>
    </xf>
    <xf numFmtId="3" fontId="21" fillId="0" borderId="19" xfId="0" applyNumberFormat="1" applyFont="1" applyBorder="1"/>
    <xf numFmtId="3" fontId="31" fillId="0" borderId="0" xfId="0" applyNumberFormat="1" applyFont="1" applyFill="1" applyAlignment="1">
      <alignment horizontal="right"/>
    </xf>
    <xf numFmtId="0" fontId="21" fillId="2" borderId="0" xfId="0" applyFont="1" applyFill="1"/>
    <xf numFmtId="0" fontId="21" fillId="0" borderId="12" xfId="0" applyFont="1" applyBorder="1"/>
    <xf numFmtId="0" fontId="33" fillId="0" borderId="12" xfId="0" applyFont="1" applyBorder="1" applyAlignment="1">
      <alignment horizontal="center"/>
    </xf>
    <xf numFmtId="0" fontId="21" fillId="0" borderId="12" xfId="0" applyFont="1" applyFill="1" applyBorder="1"/>
    <xf numFmtId="0" fontId="21" fillId="2" borderId="12" xfId="0" applyFont="1" applyFill="1" applyBorder="1"/>
    <xf numFmtId="0" fontId="21" fillId="0" borderId="20" xfId="0" applyFont="1" applyFill="1" applyBorder="1"/>
    <xf numFmtId="0" fontId="53" fillId="6" borderId="0" xfId="0" applyFont="1" applyFill="1" applyAlignment="1">
      <alignment horizontal="left"/>
    </xf>
    <xf numFmtId="0" fontId="53" fillId="6" borderId="0" xfId="0" applyFont="1" applyFill="1" applyAlignment="1"/>
    <xf numFmtId="0" fontId="31" fillId="6" borderId="0" xfId="0" applyNumberFormat="1" applyFont="1" applyFill="1" applyAlignment="1">
      <alignment horizontal="left"/>
    </xf>
    <xf numFmtId="0" fontId="54" fillId="0" borderId="0" xfId="0" applyFont="1"/>
    <xf numFmtId="0" fontId="7" fillId="0" borderId="0" xfId="0" applyFont="1" applyFill="1" applyAlignment="1"/>
    <xf numFmtId="0" fontId="21" fillId="0" borderId="12" xfId="0" applyFont="1" applyFill="1" applyBorder="1" applyAlignment="1"/>
    <xf numFmtId="0" fontId="33" fillId="0" borderId="0" xfId="0" applyFont="1" applyFill="1" applyAlignment="1">
      <alignment horizontal="center"/>
    </xf>
    <xf numFmtId="0" fontId="33" fillId="0" borderId="12" xfId="0" applyFont="1" applyFill="1" applyBorder="1" applyAlignment="1"/>
    <xf numFmtId="3" fontId="21" fillId="2" borderId="12" xfId="0" applyNumberFormat="1" applyFont="1" applyFill="1" applyBorder="1" applyAlignment="1">
      <alignment horizontal="right"/>
    </xf>
    <xf numFmtId="10" fontId="21" fillId="0" borderId="0" xfId="0" applyNumberFormat="1" applyFont="1" applyAlignment="1">
      <alignment horizontal="right"/>
    </xf>
    <xf numFmtId="3" fontId="21" fillId="0" borderId="20" xfId="0" applyNumberFormat="1" applyFont="1" applyBorder="1" applyAlignment="1">
      <alignment horizontal="center"/>
    </xf>
    <xf numFmtId="165" fontId="32" fillId="0" borderId="0" xfId="0" applyNumberFormat="1" applyFont="1" applyAlignment="1">
      <alignment horizontal="right"/>
    </xf>
    <xf numFmtId="0" fontId="21" fillId="0" borderId="0" xfId="0" applyFont="1" applyAlignment="1">
      <alignment horizontal="center" vertical="center"/>
    </xf>
    <xf numFmtId="3" fontId="31" fillId="0" borderId="0" xfId="0" applyNumberFormat="1" applyFont="1" applyAlignment="1">
      <alignment horizontal="right"/>
    </xf>
    <xf numFmtId="3" fontId="31" fillId="2" borderId="0" xfId="0" applyNumberFormat="1" applyFont="1" applyFill="1" applyAlignment="1">
      <alignment horizontal="right"/>
    </xf>
    <xf numFmtId="3" fontId="31" fillId="2" borderId="12" xfId="0" applyNumberFormat="1" applyFont="1" applyFill="1" applyBorder="1" applyAlignment="1">
      <alignment horizontal="right"/>
    </xf>
    <xf numFmtId="0" fontId="34" fillId="0" borderId="0" xfId="0" applyNumberFormat="1" applyFont="1" applyFill="1" applyAlignment="1">
      <alignment horizontal="center"/>
    </xf>
    <xf numFmtId="0" fontId="34" fillId="0" borderId="0" xfId="0" applyNumberFormat="1" applyFont="1" applyFill="1" applyAlignment="1"/>
    <xf numFmtId="0" fontId="21" fillId="0" borderId="20" xfId="0" applyNumberFormat="1" applyFont="1" applyBorder="1" applyAlignment="1">
      <alignment horizontal="left"/>
    </xf>
    <xf numFmtId="0" fontId="31" fillId="0" borderId="20" xfId="0" applyNumberFormat="1" applyFont="1" applyBorder="1" applyAlignment="1">
      <alignment horizontal="left"/>
    </xf>
    <xf numFmtId="0" fontId="21" fillId="0" borderId="20" xfId="0" applyFont="1" applyBorder="1" applyAlignment="1">
      <alignment horizontal="right"/>
    </xf>
    <xf numFmtId="3" fontId="21" fillId="0" borderId="20" xfId="0" applyNumberFormat="1" applyFont="1" applyBorder="1" applyAlignment="1">
      <alignment horizontal="right"/>
    </xf>
    <xf numFmtId="0" fontId="55" fillId="0" borderId="0" xfId="0" applyNumberFormat="1" applyFont="1" applyFill="1" applyAlignment="1">
      <alignment horizontal="left"/>
    </xf>
    <xf numFmtId="164" fontId="21" fillId="0" borderId="0" xfId="8" applyNumberFormat="1" applyFont="1" applyFill="1"/>
    <xf numFmtId="171" fontId="21" fillId="0" borderId="12" xfId="13" applyFont="1" applyFill="1" applyBorder="1" applyAlignment="1">
      <alignment vertical="center"/>
    </xf>
    <xf numFmtId="3" fontId="33" fillId="0" borderId="12" xfId="0" applyNumberFormat="1" applyFont="1" applyFill="1" applyBorder="1" applyAlignment="1">
      <alignment horizontal="center"/>
    </xf>
    <xf numFmtId="164" fontId="21" fillId="2" borderId="0" xfId="8" applyNumberFormat="1" applyFont="1" applyFill="1" applyBorder="1"/>
    <xf numFmtId="3" fontId="21" fillId="2" borderId="12" xfId="0" applyNumberFormat="1" applyFont="1" applyFill="1" applyBorder="1" applyAlignment="1"/>
    <xf numFmtId="0" fontId="33" fillId="0" borderId="0" xfId="0" applyFont="1" applyAlignment="1">
      <alignment horizontal="center"/>
    </xf>
    <xf numFmtId="172" fontId="21" fillId="2" borderId="0" xfId="0" applyNumberFormat="1" applyFont="1" applyFill="1" applyAlignment="1"/>
    <xf numFmtId="3" fontId="21" fillId="0" borderId="0" xfId="0" quotePrefix="1" applyNumberFormat="1" applyFont="1" applyBorder="1" applyAlignment="1">
      <alignment horizontal="right"/>
    </xf>
    <xf numFmtId="164" fontId="7" fillId="0" borderId="0" xfId="8" applyNumberFormat="1" applyFont="1"/>
    <xf numFmtId="167" fontId="21" fillId="0" borderId="20" xfId="0" applyNumberFormat="1" applyFont="1" applyBorder="1" applyAlignment="1">
      <alignment horizontal="left"/>
    </xf>
    <xf numFmtId="174" fontId="21" fillId="0" borderId="20" xfId="0" applyNumberFormat="1" applyFont="1" applyBorder="1" applyAlignment="1">
      <alignment horizontal="center"/>
    </xf>
    <xf numFmtId="167" fontId="21" fillId="0" borderId="0" xfId="0" applyNumberFormat="1" applyFont="1" applyBorder="1" applyAlignment="1">
      <alignment horizontal="left"/>
    </xf>
    <xf numFmtId="10" fontId="30" fillId="2" borderId="0" xfId="0" applyNumberFormat="1" applyFont="1" applyFill="1"/>
    <xf numFmtId="10" fontId="21" fillId="0" borderId="0" xfId="12" applyNumberFormat="1" applyFont="1" applyAlignment="1"/>
    <xf numFmtId="0" fontId="21" fillId="0" borderId="19" xfId="0" applyNumberFormat="1" applyFont="1" applyBorder="1" applyAlignment="1">
      <alignment horizontal="left"/>
    </xf>
    <xf numFmtId="174" fontId="21" fillId="0" borderId="20" xfId="0" applyNumberFormat="1" applyFont="1" applyBorder="1" applyAlignment="1"/>
    <xf numFmtId="0" fontId="51" fillId="0" borderId="14" xfId="0" applyNumberFormat="1" applyFont="1" applyBorder="1" applyAlignment="1">
      <alignment horizontal="center"/>
    </xf>
    <xf numFmtId="0" fontId="51" fillId="0" borderId="15" xfId="0" applyNumberFormat="1" applyFont="1" applyBorder="1" applyAlignment="1">
      <alignment horizontal="center"/>
    </xf>
    <xf numFmtId="0" fontId="51" fillId="0" borderId="15" xfId="0" applyNumberFormat="1" applyFont="1" applyFill="1" applyBorder="1" applyAlignment="1"/>
    <xf numFmtId="0" fontId="51" fillId="0" borderId="15" xfId="0" applyFont="1" applyFill="1" applyBorder="1" applyAlignment="1"/>
    <xf numFmtId="3" fontId="51" fillId="0" borderId="15" xfId="0" applyNumberFormat="1" applyFont="1" applyBorder="1" applyAlignment="1">
      <alignment horizontal="center"/>
    </xf>
    <xf numFmtId="3" fontId="51" fillId="0" borderId="15" xfId="0" applyNumberFormat="1" applyFont="1" applyBorder="1" applyAlignment="1"/>
    <xf numFmtId="0" fontId="51" fillId="0" borderId="15" xfId="0" applyFont="1" applyBorder="1" applyAlignment="1"/>
    <xf numFmtId="3" fontId="21" fillId="0" borderId="15" xfId="0" applyNumberFormat="1" applyFont="1" applyBorder="1"/>
    <xf numFmtId="164" fontId="21" fillId="0" borderId="0" xfId="0" applyNumberFormat="1" applyFont="1"/>
    <xf numFmtId="0" fontId="51" fillId="0" borderId="0" xfId="0" applyNumberFormat="1" applyFont="1" applyBorder="1" applyAlignment="1">
      <alignment horizontal="center"/>
    </xf>
    <xf numFmtId="0" fontId="51" fillId="0" borderId="0" xfId="0" applyNumberFormat="1" applyFont="1" applyFill="1" applyBorder="1" applyAlignment="1"/>
    <xf numFmtId="0" fontId="51" fillId="0" borderId="0" xfId="0" applyFont="1" applyFill="1" applyBorder="1" applyAlignment="1"/>
    <xf numFmtId="0" fontId="51" fillId="0" borderId="0" xfId="0" applyFont="1" applyBorder="1" applyAlignment="1"/>
    <xf numFmtId="3" fontId="21" fillId="0" borderId="0" xfId="0" applyNumberFormat="1" applyFont="1" applyBorder="1"/>
    <xf numFmtId="3" fontId="21" fillId="0" borderId="0" xfId="0" applyNumberFormat="1" applyFont="1" applyFill="1" applyBorder="1"/>
    <xf numFmtId="0" fontId="21" fillId="0" borderId="12" xfId="0" applyNumberFormat="1" applyFont="1" applyFill="1" applyBorder="1" applyAlignment="1"/>
    <xf numFmtId="0" fontId="51" fillId="0" borderId="12" xfId="0" applyFont="1" applyFill="1" applyBorder="1" applyAlignment="1"/>
    <xf numFmtId="3" fontId="21" fillId="0" borderId="12" xfId="0" applyNumberFormat="1" applyFont="1" applyFill="1" applyBorder="1"/>
    <xf numFmtId="10" fontId="21" fillId="0" borderId="0" xfId="12" applyNumberFormat="1" applyFont="1" applyFill="1" applyBorder="1"/>
    <xf numFmtId="3" fontId="51" fillId="0" borderId="12" xfId="0" applyNumberFormat="1" applyFont="1" applyBorder="1" applyAlignment="1">
      <alignment horizontal="center"/>
    </xf>
    <xf numFmtId="164" fontId="21" fillId="2" borderId="0" xfId="8" applyNumberFormat="1" applyFont="1" applyFill="1" applyAlignment="1"/>
    <xf numFmtId="0" fontId="21" fillId="0" borderId="15" xfId="0" applyFont="1" applyBorder="1"/>
    <xf numFmtId="0" fontId="51" fillId="0" borderId="15" xfId="0" applyNumberFormat="1" applyFont="1" applyBorder="1" applyAlignment="1">
      <alignment horizontal="left"/>
    </xf>
    <xf numFmtId="0" fontId="51" fillId="0" borderId="15" xfId="0" applyFont="1" applyFill="1" applyBorder="1"/>
    <xf numFmtId="0" fontId="51" fillId="0" borderId="15" xfId="0" applyFont="1" applyBorder="1" applyAlignment="1">
      <alignment horizontal="center"/>
    </xf>
    <xf numFmtId="164" fontId="21" fillId="0" borderId="0" xfId="8" applyNumberFormat="1" applyFont="1" applyAlignment="1"/>
    <xf numFmtId="43" fontId="21" fillId="0" borderId="0" xfId="12" applyNumberFormat="1" applyFont="1" applyAlignment="1"/>
    <xf numFmtId="166" fontId="21" fillId="0" borderId="0" xfId="0" applyNumberFormat="1" applyFont="1" applyAlignment="1">
      <alignment horizontal="center"/>
    </xf>
    <xf numFmtId="164" fontId="21" fillId="0" borderId="0" xfId="0" applyNumberFormat="1" applyFont="1" applyFill="1"/>
    <xf numFmtId="0" fontId="47" fillId="0" borderId="0" xfId="0" applyFont="1" applyFill="1" applyBorder="1"/>
    <xf numFmtId="164" fontId="21" fillId="0" borderId="0" xfId="8" applyNumberFormat="1" applyFont="1" applyFill="1" applyBorder="1" applyAlignment="1"/>
    <xf numFmtId="43" fontId="21" fillId="0" borderId="0" xfId="8" applyFont="1" applyAlignment="1"/>
    <xf numFmtId="0" fontId="31" fillId="0" borderId="0" xfId="0" applyFont="1" applyAlignment="1"/>
    <xf numFmtId="0" fontId="56" fillId="0" borderId="0" xfId="0" applyFont="1" applyFill="1" applyAlignment="1"/>
    <xf numFmtId="0" fontId="35" fillId="0" borderId="0" xfId="0" applyFont="1" applyFill="1" applyBorder="1" applyAlignment="1">
      <alignment horizontal="center"/>
    </xf>
    <xf numFmtId="37" fontId="31" fillId="0" borderId="0" xfId="0" applyNumberFormat="1" applyFont="1" applyBorder="1" applyAlignment="1">
      <alignment horizontal="left"/>
    </xf>
    <xf numFmtId="37" fontId="31" fillId="0" borderId="0" xfId="0" applyNumberFormat="1" applyFont="1" applyBorder="1" applyAlignment="1">
      <alignment horizontal="right"/>
    </xf>
    <xf numFmtId="0" fontId="35" fillId="0" borderId="0" xfId="0" applyFont="1" applyBorder="1" applyAlignment="1">
      <alignment horizontal="center"/>
    </xf>
    <xf numFmtId="37" fontId="21" fillId="0" borderId="15" xfId="0" applyNumberFormat="1" applyFont="1" applyBorder="1" applyAlignment="1">
      <alignment horizontal="center"/>
    </xf>
    <xf numFmtId="0" fontId="57" fillId="0" borderId="0" xfId="0" applyFont="1" applyAlignment="1">
      <alignment horizontal="left"/>
    </xf>
    <xf numFmtId="0" fontId="31" fillId="0" borderId="0" xfId="0" applyFont="1" applyBorder="1" applyAlignment="1"/>
    <xf numFmtId="0" fontId="36" fillId="0" borderId="0" xfId="0" applyFont="1" applyBorder="1" applyAlignment="1">
      <alignment horizontal="center"/>
    </xf>
    <xf numFmtId="37" fontId="28" fillId="0" borderId="0" xfId="0" applyNumberFormat="1" applyFont="1" applyBorder="1" applyAlignment="1">
      <alignment horizontal="right"/>
    </xf>
    <xf numFmtId="0" fontId="1" fillId="0" borderId="0" xfId="0" applyNumberFormat="1" applyFont="1" applyBorder="1" applyAlignment="1">
      <alignment horizontal="center"/>
    </xf>
    <xf numFmtId="0" fontId="19" fillId="0" borderId="0" xfId="0" applyNumberFormat="1" applyFont="1" applyBorder="1" applyAlignment="1">
      <alignment horizontal="center"/>
    </xf>
    <xf numFmtId="0" fontId="19" fillId="0" borderId="0" xfId="0" applyNumberFormat="1" applyFont="1" applyFill="1" applyBorder="1" applyAlignment="1">
      <alignment horizontal="center"/>
    </xf>
    <xf numFmtId="166" fontId="21" fillId="0" borderId="0" xfId="10" applyNumberFormat="1" applyFont="1"/>
    <xf numFmtId="0" fontId="6" fillId="0" borderId="0" xfId="0" applyNumberFormat="1" applyFont="1" applyFill="1" applyAlignment="1">
      <alignment horizontal="center"/>
    </xf>
    <xf numFmtId="0" fontId="58" fillId="0" borderId="0" xfId="0" applyNumberFormat="1" applyFont="1" applyFill="1" applyBorder="1" applyAlignment="1">
      <alignment horizontal="left"/>
    </xf>
    <xf numFmtId="0" fontId="7" fillId="0" borderId="0" xfId="0" applyNumberFormat="1" applyFont="1" applyBorder="1" applyAlignment="1">
      <alignment horizontal="center"/>
    </xf>
    <xf numFmtId="0" fontId="48" fillId="6" borderId="0" xfId="0" applyNumberFormat="1" applyFont="1" applyFill="1" applyAlignment="1">
      <alignment horizontal="left"/>
    </xf>
    <xf numFmtId="0" fontId="21" fillId="6" borderId="0" xfId="0" applyNumberFormat="1" applyFont="1" applyFill="1" applyAlignment="1">
      <alignment horizontal="center"/>
    </xf>
    <xf numFmtId="3" fontId="21" fillId="6" borderId="0" xfId="0" applyNumberFormat="1" applyFont="1" applyFill="1" applyAlignment="1">
      <alignment horizontal="center"/>
    </xf>
    <xf numFmtId="43" fontId="21" fillId="0" borderId="0" xfId="8" applyFont="1"/>
    <xf numFmtId="179" fontId="21" fillId="0" borderId="0" xfId="12" applyNumberFormat="1" applyFont="1"/>
    <xf numFmtId="43" fontId="21" fillId="0" borderId="0" xfId="0" applyNumberFormat="1" applyFont="1"/>
    <xf numFmtId="3" fontId="21" fillId="0" borderId="0" xfId="0" applyNumberFormat="1" applyFont="1" applyFill="1" applyBorder="1" applyAlignment="1">
      <alignment horizontal="left"/>
    </xf>
    <xf numFmtId="3" fontId="21" fillId="0" borderId="19" xfId="0" applyNumberFormat="1" applyFont="1" applyFill="1" applyBorder="1" applyAlignment="1">
      <alignment horizontal="left"/>
    </xf>
    <xf numFmtId="3" fontId="21" fillId="0" borderId="19" xfId="0" applyNumberFormat="1" applyFont="1" applyBorder="1" applyAlignment="1">
      <alignment horizontal="left"/>
    </xf>
    <xf numFmtId="3" fontId="7" fillId="0" borderId="0" xfId="0" applyNumberFormat="1" applyFont="1" applyBorder="1" applyAlignment="1">
      <alignment horizontal="left"/>
    </xf>
    <xf numFmtId="0" fontId="9" fillId="0" borderId="0" xfId="7" applyFont="1" applyAlignment="1">
      <alignment horizontal="center"/>
    </xf>
    <xf numFmtId="0" fontId="44" fillId="0" borderId="0" xfId="23" applyFont="1"/>
    <xf numFmtId="180" fontId="0" fillId="0" borderId="0" xfId="10" applyNumberFormat="1" applyFont="1" applyBorder="1"/>
    <xf numFmtId="180" fontId="44" fillId="0" borderId="0" xfId="24" applyNumberFormat="1" applyFont="1" applyBorder="1"/>
    <xf numFmtId="180" fontId="62" fillId="8" borderId="0" xfId="25" applyNumberFormat="1" applyFont="1" applyFill="1"/>
    <xf numFmtId="180" fontId="44" fillId="0" borderId="0" xfId="26" applyNumberFormat="1" applyFont="1" applyBorder="1"/>
    <xf numFmtId="180" fontId="0" fillId="0" borderId="0" xfId="8" applyNumberFormat="1" applyFont="1" applyBorder="1"/>
    <xf numFmtId="166" fontId="63" fillId="0" borderId="20" xfId="10" applyNumberFormat="1" applyFont="1" applyBorder="1"/>
    <xf numFmtId="0" fontId="64" fillId="0" borderId="0" xfId="27" applyNumberFormat="1" applyFont="1" applyFill="1" applyAlignment="1">
      <alignment horizontal="center"/>
    </xf>
    <xf numFmtId="168" fontId="65" fillId="0" borderId="0" xfId="27" applyFont="1" applyFill="1" applyAlignment="1"/>
    <xf numFmtId="0" fontId="65" fillId="0" borderId="0" xfId="28" applyFont="1" applyFill="1"/>
    <xf numFmtId="0" fontId="65" fillId="0" borderId="0" xfId="29" applyNumberFormat="1" applyFont="1" applyFill="1" applyBorder="1" applyAlignment="1" applyProtection="1">
      <alignment horizontal="center"/>
      <protection locked="0"/>
    </xf>
    <xf numFmtId="0" fontId="65" fillId="0" borderId="0" xfId="28" applyFont="1" applyFill="1" applyAlignment="1">
      <alignment horizontal="right"/>
    </xf>
    <xf numFmtId="0" fontId="65" fillId="0" borderId="0" xfId="27" applyNumberFormat="1" applyFont="1" applyFill="1" applyAlignment="1">
      <alignment horizontal="center"/>
    </xf>
    <xf numFmtId="0" fontId="65" fillId="0" borderId="0" xfId="28" applyFont="1" applyFill="1" applyAlignment="1">
      <alignment horizontal="center"/>
    </xf>
    <xf numFmtId="168" fontId="65" fillId="0" borderId="0" xfId="27" applyFont="1" applyFill="1" applyAlignment="1">
      <alignment horizontal="right"/>
    </xf>
    <xf numFmtId="0" fontId="65" fillId="0" borderId="0" xfId="30" applyNumberFormat="1" applyFont="1" applyFill="1" applyAlignment="1">
      <alignment horizontal="center"/>
    </xf>
    <xf numFmtId="0" fontId="66" fillId="0" borderId="0" xfId="28" applyFont="1" applyFill="1" applyAlignment="1">
      <alignment horizontal="centerContinuous"/>
    </xf>
    <xf numFmtId="0" fontId="66" fillId="0" borderId="0" xfId="28" applyFont="1" applyFill="1" applyAlignment="1">
      <alignment horizontal="center"/>
    </xf>
    <xf numFmtId="0" fontId="65" fillId="0" borderId="0" xfId="27" applyNumberFormat="1" applyFont="1" applyFill="1" applyAlignment="1">
      <alignment horizontal="center" wrapText="1"/>
    </xf>
    <xf numFmtId="0" fontId="66" fillId="0" borderId="0" xfId="28" applyFont="1" applyFill="1" applyAlignment="1">
      <alignment horizontal="center" wrapText="1"/>
    </xf>
    <xf numFmtId="168" fontId="66" fillId="0" borderId="0" xfId="27" applyFont="1" applyFill="1" applyAlignment="1">
      <alignment horizontal="center" wrapText="1"/>
    </xf>
    <xf numFmtId="168" fontId="65" fillId="0" borderId="0" xfId="27" applyFont="1" applyFill="1" applyAlignment="1">
      <alignment wrapText="1"/>
    </xf>
    <xf numFmtId="0" fontId="66" fillId="0" borderId="0" xfId="31" applyFont="1" applyFill="1" applyBorder="1" applyAlignment="1">
      <alignment horizontal="center" wrapText="1"/>
    </xf>
    <xf numFmtId="168" fontId="64" fillId="0" borderId="0" xfId="27" applyFont="1" applyFill="1" applyAlignment="1"/>
    <xf numFmtId="0" fontId="65" fillId="0" borderId="0" xfId="32" applyFont="1" applyFill="1" applyAlignment="1">
      <alignment horizontal="left" wrapText="1"/>
    </xf>
    <xf numFmtId="37" fontId="65" fillId="0" borderId="0" xfId="8" applyNumberFormat="1" applyFont="1" applyFill="1" applyAlignment="1">
      <alignment horizontal="center"/>
    </xf>
    <xf numFmtId="37" fontId="65" fillId="0" borderId="0" xfId="8" applyNumberFormat="1" applyFont="1" applyFill="1" applyAlignment="1">
      <alignment horizontal="center" wrapText="1"/>
    </xf>
    <xf numFmtId="3" fontId="65" fillId="0" borderId="0" xfId="33" applyNumberFormat="1" applyFont="1" applyFill="1" applyAlignment="1">
      <alignment horizontal="left" wrapText="1"/>
    </xf>
    <xf numFmtId="3" fontId="65" fillId="0" borderId="0" xfId="33" applyNumberFormat="1" applyFont="1" applyFill="1" applyAlignment="1">
      <alignment wrapText="1"/>
    </xf>
    <xf numFmtId="3" fontId="65" fillId="0" borderId="0" xfId="33" applyNumberFormat="1" applyFont="1" applyFill="1" applyAlignment="1">
      <alignment horizontal="center" wrapText="1"/>
    </xf>
    <xf numFmtId="0" fontId="65" fillId="0" borderId="0" xfId="28" quotePrefix="1" applyFont="1" applyFill="1" applyAlignment="1">
      <alignment horizontal="left"/>
    </xf>
    <xf numFmtId="41" fontId="65" fillId="10" borderId="0" xfId="28" applyNumberFormat="1" applyFont="1" applyFill="1"/>
    <xf numFmtId="164" fontId="65" fillId="10" borderId="0" xfId="8" applyNumberFormat="1" applyFont="1" applyFill="1"/>
    <xf numFmtId="164" fontId="65" fillId="0" borderId="20" xfId="8" applyNumberFormat="1" applyFont="1" applyFill="1" applyBorder="1"/>
    <xf numFmtId="37" fontId="65" fillId="0" borderId="0" xfId="28" applyNumberFormat="1" applyFont="1" applyFill="1"/>
    <xf numFmtId="168" fontId="65" fillId="0" borderId="0" xfId="34" applyFont="1" applyFill="1" applyAlignment="1"/>
    <xf numFmtId="0" fontId="66" fillId="0" borderId="0" xfId="28" applyFont="1" applyFill="1" applyAlignment="1">
      <alignment horizontal="centerContinuous" wrapText="1"/>
    </xf>
    <xf numFmtId="168" fontId="66" fillId="0" borderId="0" xfId="27" applyFont="1" applyFill="1" applyAlignment="1">
      <alignment horizontal="center"/>
    </xf>
    <xf numFmtId="0" fontId="65" fillId="0" borderId="0" xfId="31" applyFont="1" applyFill="1" applyBorder="1" applyAlignment="1">
      <alignment horizontal="center" wrapText="1"/>
    </xf>
    <xf numFmtId="168" fontId="65" fillId="0" borderId="0" xfId="27" applyFont="1" applyFill="1" applyAlignment="1">
      <alignment horizontal="center"/>
    </xf>
    <xf numFmtId="41" fontId="67" fillId="11" borderId="0" xfId="28" applyNumberFormat="1" applyFont="1" applyFill="1"/>
    <xf numFmtId="0" fontId="65" fillId="0" borderId="0" xfId="28" applyFont="1" applyFill="1" applyAlignment="1">
      <alignment horizontal="left"/>
    </xf>
    <xf numFmtId="43" fontId="65" fillId="0" borderId="20" xfId="8" applyFont="1" applyFill="1" applyBorder="1"/>
    <xf numFmtId="164" fontId="65" fillId="10" borderId="0" xfId="8" applyNumberFormat="1" applyFont="1" applyFill="1" applyBorder="1"/>
    <xf numFmtId="43" fontId="65" fillId="0" borderId="0" xfId="8" applyFont="1" applyFill="1" applyBorder="1" applyAlignment="1">
      <alignment horizontal="center"/>
    </xf>
    <xf numFmtId="164" fontId="65" fillId="0" borderId="0" xfId="8" applyNumberFormat="1" applyFont="1" applyFill="1" applyBorder="1"/>
    <xf numFmtId="164" fontId="65" fillId="0" borderId="0" xfId="8" applyNumberFormat="1" applyFont="1" applyFill="1" applyBorder="1" applyAlignment="1">
      <alignment horizontal="center"/>
    </xf>
    <xf numFmtId="0" fontId="68" fillId="0" borderId="0" xfId="27" applyNumberFormat="1" applyFont="1" applyFill="1" applyAlignment="1">
      <alignment horizontal="center"/>
    </xf>
    <xf numFmtId="168" fontId="68" fillId="0" borderId="0" xfId="27" applyFont="1" applyFill="1" applyAlignment="1">
      <alignment horizontal="center"/>
    </xf>
    <xf numFmtId="44" fontId="68" fillId="0" borderId="0" xfId="27" applyNumberFormat="1" applyFont="1" applyFill="1" applyBorder="1" applyAlignment="1"/>
    <xf numFmtId="168" fontId="65" fillId="0" borderId="0" xfId="27" applyFont="1" applyFill="1" applyAlignment="1">
      <alignment vertical="center" wrapText="1"/>
    </xf>
    <xf numFmtId="168" fontId="65" fillId="0" borderId="0" xfId="27" applyFont="1" applyFill="1" applyAlignment="1">
      <alignment horizontal="left" vertical="center"/>
    </xf>
    <xf numFmtId="168" fontId="65" fillId="0" borderId="0" xfId="27" applyFont="1" applyFill="1" applyAlignment="1">
      <alignment horizontal="left" vertical="center" wrapText="1"/>
    </xf>
    <xf numFmtId="0" fontId="65" fillId="0" borderId="0" xfId="27" applyNumberFormat="1" applyFont="1" applyFill="1" applyAlignment="1">
      <alignment horizontal="center" vertical="top"/>
    </xf>
    <xf numFmtId="0" fontId="65" fillId="0" borderId="0" xfId="33" applyNumberFormat="1" applyFont="1" applyFill="1" applyAlignment="1">
      <alignment vertical="top" wrapText="1"/>
    </xf>
    <xf numFmtId="0" fontId="65" fillId="0" borderId="0" xfId="27" applyNumberFormat="1" applyFont="1" applyFill="1" applyBorder="1" applyAlignment="1">
      <alignment vertical="top"/>
    </xf>
    <xf numFmtId="0" fontId="69" fillId="0" borderId="0" xfId="36" applyFont="1" applyFill="1" applyAlignment="1">
      <alignment horizontal="center"/>
    </xf>
    <xf numFmtId="0" fontId="69" fillId="0" borderId="0" xfId="36" applyFont="1" applyFill="1"/>
    <xf numFmtId="0" fontId="66" fillId="0" borderId="0" xfId="29" applyNumberFormat="1" applyFont="1" applyFill="1" applyBorder="1" applyAlignment="1" applyProtection="1">
      <alignment horizontal="center"/>
      <protection locked="0"/>
    </xf>
    <xf numFmtId="0" fontId="70" fillId="0" borderId="0" xfId="36" applyFont="1" applyFill="1" applyAlignment="1">
      <alignment horizontal="center"/>
    </xf>
    <xf numFmtId="168" fontId="65" fillId="0" borderId="0" xfId="27" applyFont="1" applyFill="1" applyAlignment="1">
      <alignment horizontal="left" vertical="center" wrapText="1"/>
    </xf>
    <xf numFmtId="168" fontId="30" fillId="0" borderId="0" xfId="37" applyFill="1" applyAlignment="1"/>
    <xf numFmtId="168" fontId="30" fillId="0" borderId="0" xfId="37" applyAlignment="1"/>
    <xf numFmtId="164" fontId="8" fillId="0" borderId="0" xfId="8" applyNumberFormat="1" applyFont="1" applyFill="1" applyAlignment="1">
      <alignment horizontal="left"/>
    </xf>
    <xf numFmtId="0" fontId="23" fillId="0" borderId="0" xfId="5" applyFont="1" applyFill="1"/>
    <xf numFmtId="164" fontId="9" fillId="0" borderId="0" xfId="8" applyNumberFormat="1" applyFont="1" applyFill="1" applyAlignment="1"/>
    <xf numFmtId="0" fontId="66" fillId="0" borderId="0" xfId="28" quotePrefix="1" applyFont="1" applyFill="1" applyAlignment="1">
      <alignment horizontal="left"/>
    </xf>
    <xf numFmtId="0" fontId="65" fillId="10" borderId="0" xfId="28" quotePrefix="1" applyFont="1" applyFill="1" applyAlignment="1">
      <alignment horizontal="left"/>
    </xf>
    <xf numFmtId="168" fontId="30" fillId="10" borderId="0" xfId="37" applyFill="1" applyAlignment="1"/>
    <xf numFmtId="0" fontId="65" fillId="0" borderId="0" xfId="28" quotePrefix="1" applyFont="1" applyFill="1" applyAlignment="1">
      <alignment horizontal="center"/>
    </xf>
    <xf numFmtId="0" fontId="65" fillId="10" borderId="0" xfId="28" quotePrefix="1" applyFont="1" applyFill="1" applyAlignment="1">
      <alignment horizontal="center"/>
    </xf>
    <xf numFmtId="166" fontId="65" fillId="0" borderId="0" xfId="10" quotePrefix="1" applyNumberFormat="1" applyFont="1" applyFill="1" applyAlignment="1">
      <alignment horizontal="left"/>
    </xf>
    <xf numFmtId="164" fontId="65" fillId="10" borderId="0" xfId="8" quotePrefix="1" applyNumberFormat="1" applyFont="1" applyFill="1" applyAlignment="1">
      <alignment horizontal="left"/>
    </xf>
    <xf numFmtId="39" fontId="65" fillId="10" borderId="0" xfId="8" quotePrefix="1" applyNumberFormat="1" applyFont="1" applyFill="1" applyAlignment="1">
      <alignment horizontal="left"/>
    </xf>
    <xf numFmtId="164" fontId="65" fillId="0" borderId="0" xfId="8" quotePrefix="1" applyNumberFormat="1" applyFont="1" applyFill="1" applyAlignment="1">
      <alignment horizontal="left"/>
    </xf>
    <xf numFmtId="164" fontId="65" fillId="10" borderId="0" xfId="28" applyNumberFormat="1" applyFont="1" applyFill="1"/>
    <xf numFmtId="166" fontId="65" fillId="10" borderId="0" xfId="48" quotePrefix="1" applyNumberFormat="1" applyFont="1" applyFill="1" applyAlignment="1">
      <alignment horizontal="center"/>
    </xf>
    <xf numFmtId="168" fontId="65" fillId="0" borderId="0" xfId="29" applyFont="1" applyFill="1" applyBorder="1" applyAlignment="1"/>
    <xf numFmtId="168" fontId="65" fillId="0" borderId="0" xfId="29" applyFont="1" applyFill="1" applyBorder="1" applyAlignment="1">
      <alignment horizontal="right"/>
    </xf>
    <xf numFmtId="164" fontId="65" fillId="0" borderId="0" xfId="8" applyNumberFormat="1" applyFont="1" applyFill="1" applyBorder="1" applyAlignment="1"/>
    <xf numFmtId="0" fontId="65" fillId="0" borderId="0" xfId="29" applyNumberFormat="1" applyFont="1" applyFill="1" applyBorder="1" applyAlignment="1" applyProtection="1">
      <protection locked="0"/>
    </xf>
    <xf numFmtId="0" fontId="65" fillId="0" borderId="0" xfId="29" applyNumberFormat="1" applyFont="1" applyFill="1" applyBorder="1" applyProtection="1">
      <protection locked="0"/>
    </xf>
    <xf numFmtId="0" fontId="65" fillId="0" borderId="0" xfId="33" applyFont="1" applyFill="1"/>
    <xf numFmtId="0" fontId="65" fillId="0" borderId="0" xfId="29" applyNumberFormat="1" applyFont="1" applyFill="1" applyAlignment="1">
      <alignment horizontal="right"/>
    </xf>
    <xf numFmtId="0" fontId="65" fillId="0" borderId="0" xfId="29" applyNumberFormat="1" applyFont="1" applyFill="1" applyBorder="1"/>
    <xf numFmtId="164" fontId="71" fillId="0" borderId="0" xfId="8" applyNumberFormat="1" applyFont="1" applyFill="1" applyBorder="1"/>
    <xf numFmtId="3" fontId="65" fillId="0" borderId="0" xfId="29" applyNumberFormat="1" applyFont="1" applyFill="1" applyBorder="1" applyAlignment="1"/>
    <xf numFmtId="0" fontId="71" fillId="0" borderId="0" xfId="29" applyNumberFormat="1" applyFont="1" applyFill="1" applyBorder="1" applyAlignment="1">
      <alignment horizontal="center"/>
    </xf>
    <xf numFmtId="0" fontId="71" fillId="0" borderId="0" xfId="29" applyNumberFormat="1" applyFont="1" applyFill="1" applyBorder="1"/>
    <xf numFmtId="49" fontId="65" fillId="0" borderId="0" xfId="29" applyNumberFormat="1" applyFont="1" applyFill="1" applyBorder="1"/>
    <xf numFmtId="3" fontId="65" fillId="0" borderId="0" xfId="29" applyNumberFormat="1" applyFont="1" applyFill="1" applyBorder="1"/>
    <xf numFmtId="0" fontId="65" fillId="0" borderId="0" xfId="29" applyNumberFormat="1" applyFont="1" applyFill="1" applyBorder="1" applyAlignment="1">
      <alignment horizontal="center"/>
    </xf>
    <xf numFmtId="49" fontId="65" fillId="0" borderId="0" xfId="29" applyNumberFormat="1" applyFont="1" applyFill="1" applyBorder="1" applyAlignment="1">
      <alignment horizontal="center"/>
    </xf>
    <xf numFmtId="0" fontId="65" fillId="0" borderId="0" xfId="29" applyNumberFormat="1" applyFont="1" applyFill="1" applyBorder="1" applyAlignment="1"/>
    <xf numFmtId="3" fontId="66" fillId="0" borderId="0" xfId="29" applyNumberFormat="1" applyFont="1" applyFill="1" applyBorder="1" applyAlignment="1">
      <alignment horizontal="center"/>
    </xf>
    <xf numFmtId="168" fontId="66" fillId="0" borderId="0" xfId="29" applyFont="1" applyFill="1" applyBorder="1" applyAlignment="1">
      <alignment horizontal="center"/>
    </xf>
    <xf numFmtId="0" fontId="66" fillId="0" borderId="0" xfId="29" applyNumberFormat="1" applyFont="1" applyFill="1" applyBorder="1" applyAlignment="1">
      <alignment horizontal="center"/>
    </xf>
    <xf numFmtId="0" fontId="66" fillId="0" borderId="0" xfId="29" applyNumberFormat="1" applyFont="1" applyFill="1" applyBorder="1" applyAlignment="1"/>
    <xf numFmtId="0" fontId="72" fillId="0" borderId="0" xfId="29" applyNumberFormat="1" applyFont="1" applyFill="1" applyBorder="1" applyAlignment="1" applyProtection="1">
      <alignment horizontal="center"/>
      <protection locked="0"/>
    </xf>
    <xf numFmtId="3" fontId="65" fillId="0" borderId="0" xfId="29" applyNumberFormat="1" applyFont="1" applyFill="1" applyBorder="1" applyAlignment="1">
      <alignment horizontal="center"/>
    </xf>
    <xf numFmtId="3" fontId="65" fillId="0" borderId="0" xfId="29" applyNumberFormat="1" applyFont="1" applyFill="1" applyBorder="1" applyAlignment="1">
      <alignment horizontal="left"/>
    </xf>
    <xf numFmtId="43" fontId="65" fillId="0" borderId="0" xfId="8" applyNumberFormat="1" applyFont="1" applyFill="1" applyBorder="1" applyAlignment="1"/>
    <xf numFmtId="43" fontId="73" fillId="0" borderId="0" xfId="8" applyNumberFormat="1" applyFont="1" applyFill="1" applyBorder="1" applyAlignment="1"/>
    <xf numFmtId="10" fontId="73" fillId="0" borderId="0" xfId="12" applyNumberFormat="1" applyFont="1" applyFill="1" applyBorder="1" applyAlignment="1"/>
    <xf numFmtId="10" fontId="66" fillId="0" borderId="0" xfId="29" applyNumberFormat="1" applyFont="1" applyFill="1" applyBorder="1" applyAlignment="1"/>
    <xf numFmtId="3" fontId="66" fillId="0" borderId="0" xfId="29" applyNumberFormat="1" applyFont="1" applyFill="1" applyBorder="1" applyAlignment="1"/>
    <xf numFmtId="182" fontId="66" fillId="0" borderId="0" xfId="29" applyNumberFormat="1" applyFont="1" applyFill="1" applyBorder="1" applyAlignment="1"/>
    <xf numFmtId="10" fontId="65" fillId="0" borderId="0" xfId="29" applyNumberFormat="1" applyFont="1" applyFill="1" applyBorder="1" applyAlignment="1"/>
    <xf numFmtId="168" fontId="65" fillId="0" borderId="0" xfId="29" applyFont="1" applyFill="1" applyBorder="1" applyAlignment="1">
      <alignment horizontal="left"/>
    </xf>
    <xf numFmtId="168" fontId="65" fillId="0" borderId="0" xfId="29" applyFont="1" applyFill="1" applyBorder="1" applyAlignment="1">
      <alignment horizontal="center"/>
    </xf>
    <xf numFmtId="43" fontId="65" fillId="0" borderId="0" xfId="8" applyFont="1" applyFill="1" applyBorder="1" applyAlignment="1"/>
    <xf numFmtId="49" fontId="66" fillId="0" borderId="0" xfId="29" applyNumberFormat="1" applyFont="1" applyFill="1" applyBorder="1" applyAlignment="1">
      <alignment horizontal="center"/>
    </xf>
    <xf numFmtId="168" fontId="66" fillId="0" borderId="0" xfId="29" applyFont="1" applyFill="1" applyBorder="1" applyAlignment="1"/>
    <xf numFmtId="3" fontId="66" fillId="0" borderId="0" xfId="29" applyNumberFormat="1" applyFont="1" applyFill="1" applyBorder="1" applyAlignment="1">
      <alignment horizontal="left"/>
    </xf>
    <xf numFmtId="43" fontId="66" fillId="0" borderId="0" xfId="8" applyNumberFormat="1" applyFont="1" applyFill="1" applyBorder="1" applyAlignment="1"/>
    <xf numFmtId="10" fontId="66" fillId="0" borderId="0" xfId="12" applyNumberFormat="1" applyFont="1" applyFill="1" applyBorder="1" applyAlignment="1"/>
    <xf numFmtId="0" fontId="65" fillId="0" borderId="0" xfId="29" applyNumberFormat="1" applyFont="1" applyFill="1" applyBorder="1" applyAlignment="1">
      <alignment horizontal="fill"/>
    </xf>
    <xf numFmtId="168" fontId="74" fillId="0" borderId="0" xfId="29" applyFont="1" applyFill="1" applyBorder="1" applyAlignment="1"/>
    <xf numFmtId="3" fontId="74" fillId="0" borderId="0" xfId="29" applyNumberFormat="1" applyFont="1" applyFill="1" applyBorder="1" applyAlignment="1"/>
    <xf numFmtId="167" fontId="65" fillId="0" borderId="0" xfId="29" applyNumberFormat="1" applyFont="1" applyFill="1" applyBorder="1" applyAlignment="1">
      <alignment horizontal="left"/>
    </xf>
    <xf numFmtId="167" fontId="65" fillId="0" borderId="0" xfId="29" applyNumberFormat="1" applyFont="1" applyFill="1" applyBorder="1" applyAlignment="1">
      <alignment horizontal="center"/>
    </xf>
    <xf numFmtId="183" fontId="65" fillId="0" borderId="0" xfId="29" applyNumberFormat="1" applyFont="1" applyFill="1" applyBorder="1" applyAlignment="1"/>
    <xf numFmtId="0" fontId="74" fillId="0" borderId="0" xfId="29" applyNumberFormat="1" applyFont="1" applyFill="1" applyBorder="1"/>
    <xf numFmtId="49" fontId="65" fillId="0" borderId="0" xfId="29" applyNumberFormat="1" applyFont="1" applyFill="1" applyBorder="1" applyAlignment="1">
      <alignment horizontal="left"/>
    </xf>
    <xf numFmtId="0" fontId="65" fillId="0" borderId="0" xfId="29" applyNumberFormat="1" applyFont="1" applyFill="1" applyBorder="1" applyAlignment="1">
      <alignment horizontal="right"/>
    </xf>
    <xf numFmtId="181" fontId="66" fillId="0" borderId="0" xfId="29" applyNumberFormat="1" applyFont="1" applyFill="1" applyBorder="1" applyAlignment="1">
      <alignment horizontal="center"/>
    </xf>
    <xf numFmtId="181" fontId="66" fillId="0" borderId="0" xfId="29" quotePrefix="1" applyNumberFormat="1" applyFont="1" applyFill="1" applyBorder="1" applyAlignment="1">
      <alignment horizontal="center"/>
    </xf>
    <xf numFmtId="168" fontId="66" fillId="0" borderId="22" xfId="29" applyFont="1" applyFill="1" applyBorder="1" applyAlignment="1">
      <alignment horizontal="center" wrapText="1"/>
    </xf>
    <xf numFmtId="168" fontId="66" fillId="0" borderId="21" xfId="29" applyFont="1" applyFill="1" applyBorder="1" applyAlignment="1"/>
    <xf numFmtId="0" fontId="66" fillId="0" borderId="21" xfId="29" applyNumberFormat="1" applyFont="1" applyFill="1" applyBorder="1" applyAlignment="1">
      <alignment horizontal="center" wrapText="1"/>
    </xf>
    <xf numFmtId="168" fontId="66" fillId="0" borderId="23" xfId="29" applyFont="1" applyFill="1" applyBorder="1" applyAlignment="1">
      <alignment horizontal="center" wrapText="1"/>
    </xf>
    <xf numFmtId="3" fontId="66" fillId="0" borderId="23" xfId="29" applyNumberFormat="1" applyFont="1" applyFill="1" applyBorder="1" applyAlignment="1">
      <alignment horizontal="center" wrapText="1"/>
    </xf>
    <xf numFmtId="0" fontId="65" fillId="0" borderId="22" xfId="29" applyNumberFormat="1" applyFont="1" applyFill="1" applyBorder="1"/>
    <xf numFmtId="0" fontId="65" fillId="0" borderId="21" xfId="29" applyNumberFormat="1" applyFont="1" applyFill="1" applyBorder="1"/>
    <xf numFmtId="0" fontId="65" fillId="0" borderId="21" xfId="29" applyNumberFormat="1" applyFont="1" applyFill="1" applyBorder="1" applyAlignment="1">
      <alignment horizontal="center"/>
    </xf>
    <xf numFmtId="0" fontId="65" fillId="0" borderId="23" xfId="29" applyNumberFormat="1" applyFont="1" applyFill="1" applyBorder="1" applyAlignment="1">
      <alignment horizontal="center"/>
    </xf>
    <xf numFmtId="0" fontId="65" fillId="0" borderId="23" xfId="29" applyNumberFormat="1" applyFont="1" applyFill="1" applyBorder="1" applyAlignment="1">
      <alignment horizontal="center" wrapText="1"/>
    </xf>
    <xf numFmtId="3" fontId="65" fillId="0" borderId="23" xfId="29" applyNumberFormat="1" applyFont="1" applyFill="1" applyBorder="1" applyAlignment="1">
      <alignment horizontal="center" wrapText="1"/>
    </xf>
    <xf numFmtId="3" fontId="65" fillId="0" borderId="21" xfId="29" applyNumberFormat="1" applyFont="1" applyFill="1" applyBorder="1" applyAlignment="1">
      <alignment horizontal="center"/>
    </xf>
    <xf numFmtId="0" fontId="65" fillId="0" borderId="31" xfId="29" applyNumberFormat="1" applyFont="1" applyFill="1" applyBorder="1"/>
    <xf numFmtId="0" fontId="65" fillId="0" borderId="27" xfId="29" applyNumberFormat="1" applyFont="1" applyFill="1" applyBorder="1"/>
    <xf numFmtId="0" fontId="65" fillId="0" borderId="29" xfId="29" applyNumberFormat="1" applyFont="1" applyFill="1" applyBorder="1"/>
    <xf numFmtId="3" fontId="65" fillId="0" borderId="27" xfId="29" applyNumberFormat="1" applyFont="1" applyFill="1" applyBorder="1" applyAlignment="1"/>
    <xf numFmtId="168" fontId="65" fillId="0" borderId="31" xfId="52" applyFont="1" applyFill="1" applyBorder="1" applyAlignment="1"/>
    <xf numFmtId="168" fontId="65" fillId="0" borderId="0" xfId="52" applyFont="1" applyFill="1" applyBorder="1" applyAlignment="1"/>
    <xf numFmtId="43" fontId="65" fillId="0" borderId="27" xfId="8" applyFont="1" applyFill="1" applyBorder="1" applyAlignment="1"/>
    <xf numFmtId="164" fontId="65" fillId="0" borderId="27" xfId="8" applyNumberFormat="1" applyFont="1" applyFill="1" applyBorder="1" applyAlignment="1"/>
    <xf numFmtId="168" fontId="65" fillId="10" borderId="0" xfId="52" applyFont="1" applyFill="1" applyBorder="1" applyAlignment="1"/>
    <xf numFmtId="0" fontId="65" fillId="10" borderId="0" xfId="8" applyNumberFormat="1" applyFont="1" applyFill="1" applyBorder="1" applyAlignment="1">
      <alignment horizontal="left"/>
    </xf>
    <xf numFmtId="166" fontId="65" fillId="10" borderId="0" xfId="10" applyNumberFormat="1" applyFont="1" applyFill="1" applyBorder="1" applyAlignment="1"/>
    <xf numFmtId="164" fontId="65" fillId="10" borderId="0" xfId="8" applyNumberFormat="1" applyFont="1" applyFill="1" applyBorder="1" applyAlignment="1"/>
    <xf numFmtId="164" fontId="65" fillId="10" borderId="31" xfId="8" applyNumberFormat="1" applyFont="1" applyFill="1" applyBorder="1" applyAlignment="1"/>
    <xf numFmtId="168" fontId="65" fillId="10" borderId="0" xfId="29" applyFont="1" applyFill="1" applyBorder="1" applyAlignment="1">
      <alignment horizontal="left"/>
    </xf>
    <xf numFmtId="166" fontId="67" fillId="10" borderId="0" xfId="10" applyNumberFormat="1" applyFont="1" applyFill="1" applyBorder="1" applyAlignment="1"/>
    <xf numFmtId="164" fontId="67" fillId="10" borderId="0" xfId="8" applyNumberFormat="1" applyFont="1" applyFill="1" applyBorder="1" applyAlignment="1"/>
    <xf numFmtId="168" fontId="65" fillId="0" borderId="31" xfId="29" applyFont="1" applyFill="1" applyBorder="1" applyAlignment="1"/>
    <xf numFmtId="168" fontId="65" fillId="10" borderId="0" xfId="29" applyFont="1" applyFill="1" applyBorder="1" applyAlignment="1"/>
    <xf numFmtId="168" fontId="65" fillId="0" borderId="32" xfId="29" applyFont="1" applyFill="1" applyBorder="1" applyAlignment="1"/>
    <xf numFmtId="168" fontId="65" fillId="0" borderId="12" xfId="29" applyFont="1" applyFill="1" applyBorder="1" applyAlignment="1"/>
    <xf numFmtId="168" fontId="65" fillId="10" borderId="12" xfId="29" applyFont="1" applyFill="1" applyBorder="1" applyAlignment="1"/>
    <xf numFmtId="168" fontId="65" fillId="0" borderId="25" xfId="29" applyFont="1" applyFill="1" applyBorder="1" applyAlignment="1"/>
    <xf numFmtId="164" fontId="65" fillId="0" borderId="25" xfId="8" applyNumberFormat="1" applyFont="1" applyFill="1" applyBorder="1" applyAlignment="1"/>
    <xf numFmtId="164" fontId="65" fillId="10" borderId="12" xfId="8" applyNumberFormat="1" applyFont="1" applyFill="1" applyBorder="1" applyAlignment="1"/>
    <xf numFmtId="164" fontId="68" fillId="10" borderId="32" xfId="8" applyNumberFormat="1" applyFont="1" applyFill="1" applyBorder="1" applyAlignment="1"/>
    <xf numFmtId="164" fontId="68" fillId="0" borderId="25" xfId="8" applyNumberFormat="1" applyFont="1" applyFill="1" applyBorder="1" applyAlignment="1"/>
    <xf numFmtId="1" fontId="65" fillId="0" borderId="0" xfId="8" applyNumberFormat="1" applyFont="1" applyFill="1" applyBorder="1" applyAlignment="1">
      <alignment horizontal="center"/>
    </xf>
    <xf numFmtId="168" fontId="65" fillId="0" borderId="1" xfId="29" applyFont="1" applyFill="1" applyBorder="1" applyAlignment="1"/>
    <xf numFmtId="168" fontId="65" fillId="0" borderId="0" xfId="29" applyFont="1" applyFill="1" applyBorder="1" applyAlignment="1">
      <alignment horizontal="center" vertical="top"/>
    </xf>
    <xf numFmtId="168" fontId="65" fillId="0" borderId="0" xfId="37" applyFont="1" applyFill="1" applyAlignment="1"/>
    <xf numFmtId="168" fontId="75" fillId="0" borderId="0" xfId="29" applyFont="1" applyFill="1" applyBorder="1" applyAlignment="1"/>
    <xf numFmtId="0" fontId="65" fillId="0" borderId="0" xfId="8" applyNumberFormat="1" applyFont="1" applyFill="1" applyBorder="1" applyAlignment="1">
      <alignment horizontal="center"/>
    </xf>
    <xf numFmtId="0" fontId="65" fillId="0" borderId="0" xfId="8" applyNumberFormat="1" applyFont="1" applyFill="1" applyBorder="1" applyAlignment="1" applyProtection="1">
      <alignment horizontal="center"/>
      <protection locked="0"/>
    </xf>
    <xf numFmtId="168" fontId="12" fillId="0" borderId="0" xfId="29" applyFont="1" applyFill="1" applyBorder="1" applyAlignment="1"/>
    <xf numFmtId="0" fontId="65" fillId="0" borderId="0" xfId="8" applyNumberFormat="1" applyFont="1" applyFill="1" applyAlignment="1">
      <alignment horizontal="center"/>
    </xf>
    <xf numFmtId="168" fontId="65" fillId="0" borderId="0" xfId="37" applyFont="1" applyFill="1"/>
    <xf numFmtId="168" fontId="65" fillId="0" borderId="0" xfId="37" applyFont="1" applyFill="1" applyAlignment="1">
      <alignment horizontal="center"/>
    </xf>
    <xf numFmtId="168" fontId="65" fillId="0" borderId="29" xfId="37" applyFont="1" applyFill="1" applyBorder="1"/>
    <xf numFmtId="168" fontId="65" fillId="0" borderId="33" xfId="37" applyFont="1" applyFill="1" applyBorder="1" applyAlignment="1">
      <alignment horizontal="center"/>
    </xf>
    <xf numFmtId="168" fontId="65" fillId="0" borderId="19" xfId="37" applyFont="1" applyFill="1" applyBorder="1"/>
    <xf numFmtId="168" fontId="65" fillId="0" borderId="30" xfId="37" applyFont="1" applyFill="1" applyBorder="1"/>
    <xf numFmtId="168" fontId="65" fillId="0" borderId="32" xfId="37" applyFont="1" applyFill="1" applyBorder="1" applyAlignment="1"/>
    <xf numFmtId="168" fontId="65" fillId="0" borderId="25" xfId="37" applyFont="1" applyFill="1" applyBorder="1" applyAlignment="1">
      <alignment horizontal="center"/>
    </xf>
    <xf numFmtId="168" fontId="65" fillId="0" borderId="12" xfId="37" applyFont="1" applyFill="1" applyBorder="1" applyAlignment="1"/>
    <xf numFmtId="168" fontId="65" fillId="0" borderId="26" xfId="37" applyFont="1" applyFill="1" applyBorder="1" applyAlignment="1"/>
    <xf numFmtId="168" fontId="65" fillId="0" borderId="33" xfId="37" applyFont="1" applyFill="1" applyBorder="1"/>
    <xf numFmtId="168" fontId="65" fillId="0" borderId="27" xfId="37" applyFont="1" applyFill="1" applyBorder="1"/>
    <xf numFmtId="168" fontId="65" fillId="0" borderId="23" xfId="37" applyFont="1" applyFill="1" applyBorder="1" applyAlignment="1">
      <alignment horizontal="center"/>
    </xf>
    <xf numFmtId="168" fontId="65" fillId="0" borderId="27" xfId="37" applyFont="1" applyFill="1" applyBorder="1" applyAlignment="1">
      <alignment horizontal="center"/>
    </xf>
    <xf numFmtId="168" fontId="65" fillId="0" borderId="31" xfId="37" applyFont="1" applyFill="1" applyBorder="1" applyAlignment="1">
      <alignment horizontal="center"/>
    </xf>
    <xf numFmtId="168" fontId="65" fillId="0" borderId="0" xfId="37" applyFont="1" applyFill="1" applyBorder="1" applyAlignment="1">
      <alignment horizontal="center"/>
    </xf>
    <xf numFmtId="168" fontId="12" fillId="0" borderId="25" xfId="29" applyFont="1" applyFill="1" applyBorder="1" applyAlignment="1">
      <alignment horizontal="center"/>
    </xf>
    <xf numFmtId="164" fontId="65" fillId="10" borderId="28" xfId="8" applyNumberFormat="1" applyFont="1" applyFill="1" applyBorder="1" applyAlignment="1">
      <alignment horizontal="center"/>
    </xf>
    <xf numFmtId="164" fontId="65" fillId="10" borderId="27" xfId="8" applyNumberFormat="1" applyFont="1" applyFill="1" applyBorder="1" applyAlignment="1">
      <alignment horizontal="center"/>
    </xf>
    <xf numFmtId="164" fontId="65" fillId="10" borderId="27" xfId="8" applyNumberFormat="1" applyFont="1" applyFill="1" applyBorder="1"/>
    <xf numFmtId="43" fontId="65" fillId="10" borderId="27" xfId="8" applyFont="1" applyFill="1" applyBorder="1"/>
    <xf numFmtId="168" fontId="65" fillId="10" borderId="27" xfId="37" applyFont="1" applyFill="1" applyBorder="1"/>
    <xf numFmtId="43" fontId="65" fillId="10" borderId="0" xfId="8" applyFont="1" applyFill="1" applyBorder="1"/>
    <xf numFmtId="43" fontId="65" fillId="10" borderId="28" xfId="8" applyFont="1" applyFill="1" applyBorder="1"/>
    <xf numFmtId="43" fontId="65" fillId="10" borderId="27" xfId="8" applyFont="1" applyFill="1" applyBorder="1" applyAlignment="1">
      <alignment horizontal="center"/>
    </xf>
    <xf numFmtId="168" fontId="65" fillId="0" borderId="25" xfId="37" applyFont="1" applyFill="1" applyBorder="1"/>
    <xf numFmtId="168" fontId="65" fillId="0" borderId="12" xfId="37" applyFont="1" applyFill="1" applyBorder="1"/>
    <xf numFmtId="166" fontId="65" fillId="0" borderId="25" xfId="10" applyNumberFormat="1" applyFont="1" applyFill="1" applyBorder="1"/>
    <xf numFmtId="168" fontId="65" fillId="0" borderId="26" xfId="37" applyFont="1" applyFill="1" applyBorder="1"/>
    <xf numFmtId="164" fontId="65" fillId="0" borderId="0" xfId="8" applyNumberFormat="1" applyFont="1" applyFill="1"/>
    <xf numFmtId="43" fontId="65" fillId="0" borderId="0" xfId="8" applyFont="1" applyFill="1"/>
    <xf numFmtId="173" fontId="65" fillId="0" borderId="0" xfId="8" applyNumberFormat="1" applyFont="1" applyFill="1"/>
    <xf numFmtId="168" fontId="65" fillId="0" borderId="0" xfId="37" applyNumberFormat="1" applyFont="1" applyFill="1" applyBorder="1" applyAlignment="1" applyProtection="1"/>
    <xf numFmtId="168" fontId="65" fillId="0" borderId="0" xfId="29" applyFont="1" applyFill="1" applyAlignment="1"/>
    <xf numFmtId="43" fontId="65" fillId="0" borderId="0" xfId="8" applyFont="1" applyFill="1" applyAlignment="1"/>
    <xf numFmtId="0" fontId="66" fillId="0" borderId="0" xfId="8" applyNumberFormat="1" applyFont="1" applyFill="1" applyBorder="1" applyAlignment="1">
      <alignment horizontal="left"/>
    </xf>
    <xf numFmtId="168" fontId="65" fillId="0" borderId="12" xfId="29" applyFont="1" applyFill="1" applyBorder="1" applyAlignment="1">
      <alignment horizontal="center"/>
    </xf>
    <xf numFmtId="168" fontId="65" fillId="0" borderId="0" xfId="29" applyFont="1" applyFill="1" applyAlignment="1">
      <alignment horizontal="center"/>
    </xf>
    <xf numFmtId="168" fontId="65" fillId="0" borderId="29" xfId="29" applyFont="1" applyFill="1" applyBorder="1" applyAlignment="1">
      <alignment horizontal="center"/>
    </xf>
    <xf numFmtId="168" fontId="65" fillId="0" borderId="33" xfId="29" applyFont="1" applyFill="1" applyBorder="1" applyAlignment="1">
      <alignment horizontal="center"/>
    </xf>
    <xf numFmtId="168" fontId="65" fillId="0" borderId="31" xfId="29" applyFont="1" applyFill="1" applyBorder="1" applyAlignment="1">
      <alignment horizontal="center"/>
    </xf>
    <xf numFmtId="168" fontId="65" fillId="0" borderId="27" xfId="29" applyFont="1" applyFill="1" applyBorder="1" applyAlignment="1">
      <alignment horizontal="center"/>
    </xf>
    <xf numFmtId="43" fontId="65" fillId="10" borderId="31" xfId="8" applyFont="1" applyFill="1" applyBorder="1" applyAlignment="1">
      <alignment horizontal="center"/>
    </xf>
    <xf numFmtId="164" fontId="65" fillId="10" borderId="27" xfId="8" applyNumberFormat="1" applyFont="1" applyFill="1" applyBorder="1" applyAlignment="1"/>
    <xf numFmtId="168" fontId="65" fillId="0" borderId="32" xfId="29" applyFont="1" applyFill="1" applyBorder="1" applyAlignment="1">
      <alignment horizontal="center"/>
    </xf>
    <xf numFmtId="164" fontId="65" fillId="0" borderId="0" xfId="8" applyNumberFormat="1" applyFont="1" applyFill="1" applyAlignment="1"/>
    <xf numFmtId="0" fontId="65" fillId="0" borderId="0" xfId="54" applyFont="1" applyFill="1"/>
    <xf numFmtId="0" fontId="65" fillId="0" borderId="0" xfId="8" applyNumberFormat="1" applyFont="1" applyFill="1" applyAlignment="1">
      <alignment horizontal="center" vertical="top"/>
    </xf>
    <xf numFmtId="0" fontId="65" fillId="0" borderId="0" xfId="37" applyNumberFormat="1" applyFont="1" applyFill="1" applyAlignment="1">
      <alignment horizontal="center" vertical="top"/>
    </xf>
    <xf numFmtId="0" fontId="65" fillId="0" borderId="0" xfId="0" applyFont="1" applyFill="1" applyAlignment="1"/>
    <xf numFmtId="0" fontId="65" fillId="0" borderId="0" xfId="0" applyFont="1" applyFill="1" applyAlignment="1">
      <alignment horizontal="right"/>
    </xf>
    <xf numFmtId="0" fontId="65" fillId="0" borderId="0" xfId="0" applyFont="1" applyFill="1" applyAlignment="1">
      <alignment horizontal="center"/>
    </xf>
    <xf numFmtId="0" fontId="65" fillId="0" borderId="0" xfId="0" applyFont="1" applyFill="1" applyBorder="1" applyAlignment="1"/>
    <xf numFmtId="0" fontId="21" fillId="0" borderId="0" xfId="55" applyNumberFormat="1" applyFont="1" applyFill="1" applyAlignment="1">
      <alignment horizontal="center"/>
    </xf>
    <xf numFmtId="0" fontId="21" fillId="0" borderId="0" xfId="55" applyFont="1" applyFill="1" applyBorder="1" applyAlignment="1">
      <alignment horizontal="center"/>
    </xf>
    <xf numFmtId="165" fontId="21" fillId="0" borderId="0" xfId="12" applyNumberFormat="1" applyFont="1" applyFill="1" applyBorder="1" applyAlignment="1">
      <alignment horizontal="center"/>
    </xf>
    <xf numFmtId="1" fontId="21" fillId="0" borderId="0" xfId="29" applyNumberFormat="1" applyFont="1" applyFill="1" applyAlignment="1">
      <alignment horizontal="left"/>
    </xf>
    <xf numFmtId="168" fontId="55" fillId="0" borderId="0" xfId="29" quotePrefix="1" applyFont="1" applyFill="1" applyAlignment="1">
      <alignment horizontal="left"/>
    </xf>
    <xf numFmtId="168" fontId="7" fillId="0" borderId="0" xfId="29" applyFont="1" applyFill="1" applyAlignment="1"/>
    <xf numFmtId="0" fontId="80" fillId="0" borderId="0" xfId="55" applyFont="1" applyFill="1" applyAlignment="1">
      <alignment horizontal="center" wrapText="1"/>
    </xf>
    <xf numFmtId="0" fontId="80" fillId="0" borderId="0" xfId="55" applyFont="1" applyFill="1" applyBorder="1" applyAlignment="1">
      <alignment horizontal="center" wrapText="1"/>
    </xf>
    <xf numFmtId="168" fontId="21" fillId="0" borderId="0" xfId="29" applyFont="1" applyFill="1" applyAlignment="1"/>
    <xf numFmtId="43" fontId="21" fillId="0" borderId="0" xfId="8" applyFont="1" applyFill="1" applyAlignment="1"/>
    <xf numFmtId="173" fontId="81" fillId="10" borderId="0" xfId="8" applyNumberFormat="1" applyFont="1" applyFill="1"/>
    <xf numFmtId="10" fontId="81" fillId="0" borderId="0" xfId="55" applyNumberFormat="1" applyFont="1" applyFill="1" applyBorder="1"/>
    <xf numFmtId="43" fontId="80" fillId="0" borderId="0" xfId="8" applyFont="1" applyFill="1" applyBorder="1"/>
    <xf numFmtId="0" fontId="80" fillId="0" borderId="0" xfId="55" applyFont="1" applyFill="1" applyBorder="1"/>
    <xf numFmtId="0" fontId="21" fillId="0" borderId="0" xfId="55" applyNumberFormat="1" applyFont="1" applyFill="1" applyBorder="1" applyAlignment="1">
      <alignment horizontal="center"/>
    </xf>
    <xf numFmtId="0" fontId="80" fillId="0" borderId="0" xfId="55" applyFont="1" applyFill="1" applyBorder="1" applyAlignment="1">
      <alignment horizontal="center"/>
    </xf>
    <xf numFmtId="10" fontId="80" fillId="0" borderId="0" xfId="55" applyNumberFormat="1" applyFont="1" applyFill="1" applyBorder="1"/>
    <xf numFmtId="168" fontId="21" fillId="0" borderId="0" xfId="29" quotePrefix="1" applyFont="1" applyFill="1" applyBorder="1" applyAlignment="1">
      <alignment horizontal="left"/>
    </xf>
    <xf numFmtId="43" fontId="21" fillId="0" borderId="0" xfId="8" applyFont="1" applyFill="1" applyBorder="1" applyAlignment="1"/>
    <xf numFmtId="0" fontId="82" fillId="0" borderId="0" xfId="55" applyFont="1" applyFill="1" applyBorder="1"/>
    <xf numFmtId="168" fontId="21" fillId="0" borderId="0" xfId="29" applyFont="1" applyFill="1" applyBorder="1" applyAlignment="1"/>
    <xf numFmtId="0" fontId="80" fillId="0" borderId="0" xfId="55" applyFont="1" applyFill="1"/>
    <xf numFmtId="0" fontId="65" fillId="0" borderId="0" xfId="0" applyFont="1" applyFill="1"/>
    <xf numFmtId="0" fontId="65" fillId="0" borderId="0" xfId="0" applyFont="1" applyFill="1" applyBorder="1"/>
    <xf numFmtId="166" fontId="65" fillId="0" borderId="0" xfId="10" applyNumberFormat="1" applyFont="1" applyFill="1" applyBorder="1"/>
    <xf numFmtId="0" fontId="65" fillId="0" borderId="29" xfId="0" applyFont="1" applyFill="1" applyBorder="1" applyAlignment="1">
      <alignment horizontal="center"/>
    </xf>
    <xf numFmtId="0" fontId="65" fillId="0" borderId="19" xfId="0" applyFont="1" applyFill="1" applyBorder="1" applyAlignment="1">
      <alignment horizontal="center"/>
    </xf>
    <xf numFmtId="0" fontId="65" fillId="0" borderId="30" xfId="0" applyFont="1" applyFill="1" applyBorder="1" applyAlignment="1">
      <alignment horizontal="center"/>
    </xf>
    <xf numFmtId="0" fontId="65" fillId="0" borderId="31" xfId="0" applyFont="1" applyFill="1" applyBorder="1"/>
    <xf numFmtId="168" fontId="12" fillId="0" borderId="28" xfId="29" applyFont="1" applyFill="1" applyBorder="1" applyAlignment="1"/>
    <xf numFmtId="0" fontId="65" fillId="0" borderId="31" xfId="0" applyFont="1" applyFill="1" applyBorder="1" applyAlignment="1">
      <alignment horizontal="center"/>
    </xf>
    <xf numFmtId="0" fontId="65" fillId="0" borderId="28" xfId="0" applyFont="1" applyFill="1" applyBorder="1" applyAlignment="1">
      <alignment horizontal="center"/>
    </xf>
    <xf numFmtId="168" fontId="65" fillId="0" borderId="0" xfId="29" applyFont="1" applyFill="1" applyBorder="1" applyAlignment="1">
      <alignment horizontal="center" wrapText="1"/>
    </xf>
    <xf numFmtId="0" fontId="65" fillId="0" borderId="0" xfId="0" applyFont="1" applyFill="1" applyBorder="1" applyAlignment="1">
      <alignment horizontal="center" wrapText="1"/>
    </xf>
    <xf numFmtId="168" fontId="12" fillId="0" borderId="0" xfId="29" applyFont="1" applyFill="1" applyBorder="1" applyAlignment="1">
      <alignment horizontal="center" wrapText="1"/>
    </xf>
    <xf numFmtId="168" fontId="12" fillId="0" borderId="28" xfId="29" applyFont="1" applyFill="1" applyBorder="1" applyAlignment="1">
      <alignment horizontal="center"/>
    </xf>
    <xf numFmtId="0" fontId="65" fillId="0" borderId="28" xfId="0" applyFont="1" applyFill="1" applyBorder="1" applyAlignment="1">
      <alignment horizontal="center" wrapText="1"/>
    </xf>
    <xf numFmtId="43" fontId="65" fillId="0" borderId="0" xfId="8" applyFont="1" applyFill="1" applyBorder="1"/>
    <xf numFmtId="173" fontId="65" fillId="0" borderId="0" xfId="8" applyNumberFormat="1" applyFont="1" applyFill="1" applyBorder="1"/>
    <xf numFmtId="43" fontId="65" fillId="0" borderId="28" xfId="8" applyFont="1" applyFill="1" applyBorder="1"/>
    <xf numFmtId="0" fontId="65" fillId="10" borderId="31" xfId="0" applyFont="1" applyFill="1" applyBorder="1"/>
    <xf numFmtId="0" fontId="65" fillId="10" borderId="0" xfId="0" applyFont="1" applyFill="1" applyBorder="1"/>
    <xf numFmtId="184" fontId="65" fillId="0" borderId="0" xfId="8" applyNumberFormat="1" applyFont="1" applyFill="1" applyBorder="1" applyAlignment="1"/>
    <xf numFmtId="0" fontId="65" fillId="0" borderId="12" xfId="0" applyFont="1" applyFill="1" applyBorder="1"/>
    <xf numFmtId="43" fontId="65" fillId="0" borderId="12" xfId="8" applyFont="1" applyFill="1" applyBorder="1"/>
    <xf numFmtId="10" fontId="65" fillId="0" borderId="0" xfId="12" applyNumberFormat="1" applyFont="1" applyFill="1" applyBorder="1"/>
    <xf numFmtId="164" fontId="65" fillId="0" borderId="28" xfId="50" applyNumberFormat="1" applyFont="1" applyFill="1" applyBorder="1"/>
    <xf numFmtId="164" fontId="65" fillId="0" borderId="12" xfId="8" applyNumberFormat="1" applyFont="1" applyFill="1" applyBorder="1"/>
    <xf numFmtId="164" fontId="65" fillId="0" borderId="26" xfId="8" applyNumberFormat="1" applyFont="1" applyFill="1" applyBorder="1"/>
    <xf numFmtId="164" fontId="65" fillId="10" borderId="0" xfId="50" quotePrefix="1" applyNumberFormat="1" applyFont="1" applyFill="1" applyAlignment="1">
      <alignment horizontal="left"/>
    </xf>
    <xf numFmtId="168" fontId="83" fillId="10" borderId="0" xfId="37" applyFont="1" applyFill="1" applyAlignment="1"/>
    <xf numFmtId="164" fontId="65" fillId="0" borderId="21" xfId="8" applyNumberFormat="1" applyFont="1" applyFill="1" applyBorder="1"/>
    <xf numFmtId="168" fontId="65" fillId="0" borderId="0" xfId="37" applyFont="1" applyFill="1" applyBorder="1"/>
    <xf numFmtId="168" fontId="65" fillId="10" borderId="27" xfId="52" applyFont="1" applyFill="1" applyBorder="1" applyAlignment="1"/>
    <xf numFmtId="168" fontId="65" fillId="10" borderId="0" xfId="37" applyFont="1" applyFill="1" applyBorder="1"/>
    <xf numFmtId="10" fontId="65" fillId="0" borderId="26" xfId="12" applyNumberFormat="1" applyFont="1" applyFill="1" applyBorder="1"/>
    <xf numFmtId="43" fontId="65" fillId="0" borderId="0" xfId="8" applyNumberFormat="1" applyFont="1" applyFill="1"/>
    <xf numFmtId="168" fontId="66" fillId="0" borderId="0" xfId="27" quotePrefix="1" applyFont="1" applyFill="1" applyAlignment="1">
      <alignment horizontal="center"/>
    </xf>
    <xf numFmtId="0" fontId="65" fillId="0" borderId="0" xfId="58" applyNumberFormat="1" applyFont="1" applyFill="1" applyAlignment="1">
      <alignment horizontal="center"/>
    </xf>
    <xf numFmtId="168" fontId="65" fillId="0" borderId="0" xfId="58" applyFont="1" applyFill="1" applyAlignment="1"/>
    <xf numFmtId="0" fontId="64" fillId="0" borderId="0" xfId="58" applyNumberFormat="1" applyFont="1" applyFill="1" applyAlignment="1">
      <alignment horizontal="center"/>
    </xf>
    <xf numFmtId="0" fontId="65" fillId="0" borderId="0" xfId="58" applyNumberFormat="1" applyFont="1" applyFill="1" applyAlignment="1">
      <alignment horizontal="center" wrapText="1"/>
    </xf>
    <xf numFmtId="0" fontId="65" fillId="0" borderId="0" xfId="59" applyFont="1" applyFill="1" applyAlignment="1">
      <alignment horizontal="left" wrapText="1"/>
    </xf>
    <xf numFmtId="168" fontId="66" fillId="0" borderId="0" xfId="58" applyFont="1" applyFill="1" applyAlignment="1">
      <alignment horizontal="center" wrapText="1"/>
    </xf>
    <xf numFmtId="168" fontId="65" fillId="0" borderId="0" xfId="58" applyFont="1" applyFill="1" applyAlignment="1">
      <alignment wrapText="1"/>
    </xf>
    <xf numFmtId="168" fontId="64" fillId="0" borderId="0" xfId="58" applyFont="1" applyFill="1" applyAlignment="1"/>
    <xf numFmtId="168" fontId="65" fillId="0" borderId="29" xfId="37" applyFont="1" applyFill="1" applyBorder="1" applyAlignment="1">
      <alignment horizontal="center"/>
    </xf>
    <xf numFmtId="0" fontId="65" fillId="0" borderId="0" xfId="0" applyFont="1" applyFill="1" applyBorder="1" applyAlignment="1">
      <alignment horizontal="center"/>
    </xf>
    <xf numFmtId="164" fontId="21" fillId="0" borderId="0" xfId="0" applyNumberFormat="1" applyFont="1" applyFill="1" applyBorder="1" applyAlignment="1"/>
    <xf numFmtId="164" fontId="21" fillId="0" borderId="12" xfId="0" applyNumberFormat="1" applyFont="1" applyFill="1" applyBorder="1" applyAlignment="1"/>
    <xf numFmtId="168" fontId="30" fillId="0" borderId="0" xfId="60" applyAlignment="1"/>
    <xf numFmtId="168" fontId="30" fillId="10" borderId="0" xfId="60" applyFill="1" applyAlignment="1"/>
    <xf numFmtId="166" fontId="65" fillId="10" borderId="0" xfId="61" quotePrefix="1" applyNumberFormat="1" applyFont="1" applyFill="1" applyAlignment="1">
      <alignment horizontal="center"/>
    </xf>
    <xf numFmtId="168" fontId="83" fillId="10" borderId="0" xfId="60" applyFont="1" applyFill="1" applyAlignment="1"/>
    <xf numFmtId="166" fontId="65" fillId="0" borderId="0" xfId="62" quotePrefix="1" applyNumberFormat="1" applyFont="1" applyFill="1" applyAlignment="1">
      <alignment horizontal="left"/>
    </xf>
    <xf numFmtId="0" fontId="66" fillId="0" borderId="0" xfId="28" quotePrefix="1" applyFont="1" applyFill="1" applyAlignment="1">
      <alignment horizontal="center"/>
    </xf>
    <xf numFmtId="0" fontId="12" fillId="0" borderId="6"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6" fontId="21" fillId="0" borderId="0" xfId="0" applyNumberFormat="1" applyFont="1" applyAlignment="1">
      <alignment horizontal="center"/>
    </xf>
    <xf numFmtId="0" fontId="85" fillId="0" borderId="0" xfId="0" applyFont="1"/>
    <xf numFmtId="0" fontId="84" fillId="0" borderId="0" xfId="0" applyFont="1"/>
    <xf numFmtId="0" fontId="86" fillId="10" borderId="0" xfId="0" applyFont="1" applyFill="1"/>
    <xf numFmtId="0" fontId="85" fillId="10" borderId="0" xfId="0" applyFont="1" applyFill="1"/>
    <xf numFmtId="0" fontId="62" fillId="0" borderId="0" xfId="0" applyFont="1"/>
    <xf numFmtId="0" fontId="88" fillId="12" borderId="0" xfId="0" applyFont="1" applyFill="1"/>
    <xf numFmtId="41" fontId="65" fillId="0" borderId="0" xfId="28" applyNumberFormat="1" applyFont="1" applyFill="1"/>
    <xf numFmtId="0" fontId="78" fillId="0" borderId="0" xfId="0" applyFont="1" applyAlignment="1">
      <alignment wrapText="1"/>
    </xf>
    <xf numFmtId="0" fontId="89" fillId="0" borderId="0" xfId="0" applyFont="1" applyAlignment="1">
      <alignment horizontal="center"/>
    </xf>
    <xf numFmtId="0" fontId="21" fillId="0" borderId="0" xfId="0" applyFont="1" applyFill="1" applyAlignment="1">
      <alignment horizontal="right"/>
    </xf>
    <xf numFmtId="0" fontId="21" fillId="0" borderId="0" xfId="0" applyFont="1" applyFill="1" applyAlignment="1">
      <alignment vertical="center"/>
    </xf>
    <xf numFmtId="164" fontId="12" fillId="0" borderId="0" xfId="0" applyNumberFormat="1" applyFont="1" applyFill="1" applyBorder="1"/>
    <xf numFmtId="43" fontId="21" fillId="0" borderId="0" xfId="8" applyFont="1" applyFill="1"/>
    <xf numFmtId="164" fontId="83" fillId="10" borderId="0" xfId="50" applyNumberFormat="1" applyFont="1" applyFill="1" applyAlignment="1"/>
    <xf numFmtId="0" fontId="18" fillId="0" borderId="5" xfId="0" applyFont="1" applyBorder="1" applyAlignment="1">
      <alignment horizontal="center"/>
    </xf>
    <xf numFmtId="0" fontId="18" fillId="0" borderId="0" xfId="0" applyFont="1" applyAlignment="1">
      <alignment horizontal="center"/>
    </xf>
    <xf numFmtId="0" fontId="18" fillId="0" borderId="6" xfId="0" applyFont="1" applyBorder="1" applyAlignment="1">
      <alignment horizontal="center"/>
    </xf>
    <xf numFmtId="43" fontId="65" fillId="0" borderId="0" xfId="28" applyNumberFormat="1" applyFont="1" applyFill="1" applyAlignment="1">
      <alignment horizontal="center"/>
    </xf>
    <xf numFmtId="164" fontId="65" fillId="0" borderId="0" xfId="54" applyNumberFormat="1" applyFont="1" applyFill="1"/>
    <xf numFmtId="0" fontId="60" fillId="0" borderId="0" xfId="0" applyFont="1"/>
    <xf numFmtId="0" fontId="60" fillId="0" borderId="0" xfId="0" applyFont="1" applyAlignment="1">
      <alignment horizontal="center"/>
    </xf>
    <xf numFmtId="0" fontId="91" fillId="0" borderId="0" xfId="0" applyFont="1"/>
    <xf numFmtId="0" fontId="92" fillId="0" borderId="0" xfId="36" applyFont="1" applyFill="1" applyAlignment="1">
      <alignment horizontal="center"/>
    </xf>
    <xf numFmtId="164" fontId="60" fillId="0" borderId="0" xfId="8" applyNumberFormat="1" applyFont="1" applyAlignment="1">
      <alignment horizontal="center"/>
    </xf>
    <xf numFmtId="0" fontId="66" fillId="0" borderId="0" xfId="28" applyFont="1" applyFill="1"/>
    <xf numFmtId="0" fontId="66" fillId="0" borderId="0" xfId="0" applyFont="1" applyFill="1" applyAlignment="1"/>
    <xf numFmtId="168" fontId="93" fillId="0" borderId="0" xfId="37" applyFont="1" applyAlignment="1"/>
    <xf numFmtId="164" fontId="8" fillId="0" borderId="0" xfId="145" applyNumberFormat="1" applyFill="1" applyAlignment="1">
      <alignment wrapText="1"/>
    </xf>
    <xf numFmtId="166" fontId="8" fillId="0" borderId="0" xfId="64" applyNumberFormat="1" applyFill="1"/>
    <xf numFmtId="0" fontId="8" fillId="0" borderId="0" xfId="150" applyFont="1" applyFill="1" applyAlignment="1">
      <alignment horizontal="left"/>
    </xf>
    <xf numFmtId="165" fontId="21" fillId="0" borderId="0" xfId="12" applyNumberFormat="1" applyFont="1" applyFill="1" applyBorder="1" applyAlignment="1"/>
    <xf numFmtId="164" fontId="21"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1" fillId="0" borderId="0" xfId="10" applyNumberFormat="1" applyFont="1" applyFill="1"/>
    <xf numFmtId="166" fontId="21" fillId="0" borderId="0" xfId="0" applyNumberFormat="1" applyFont="1" applyFill="1" applyAlignment="1"/>
    <xf numFmtId="165" fontId="21" fillId="0" borderId="0" xfId="12" applyNumberFormat="1" applyFont="1" applyFill="1" applyAlignment="1"/>
    <xf numFmtId="175" fontId="21" fillId="0" borderId="0" xfId="12" applyNumberFormat="1" applyFont="1" applyFill="1" applyAlignment="1"/>
    <xf numFmtId="175" fontId="21" fillId="0" borderId="0" xfId="12" applyNumberFormat="1" applyFont="1" applyFill="1" applyBorder="1" applyAlignment="1"/>
    <xf numFmtId="165" fontId="21" fillId="0" borderId="0" xfId="0" applyNumberFormat="1" applyFont="1" applyFill="1" applyAlignment="1">
      <alignment horizontal="right"/>
    </xf>
    <xf numFmtId="176" fontId="31" fillId="0" borderId="0" xfId="12" applyNumberFormat="1" applyFont="1" applyFill="1" applyAlignment="1">
      <alignment horizontal="right"/>
    </xf>
    <xf numFmtId="165" fontId="32" fillId="0" borderId="0" xfId="0" applyNumberFormat="1" applyFont="1" applyFill="1" applyAlignment="1">
      <alignment horizontal="right"/>
    </xf>
    <xf numFmtId="165" fontId="21" fillId="0" borderId="0" xfId="0" applyNumberFormat="1" applyFont="1" applyFill="1" applyBorder="1" applyAlignment="1">
      <alignment horizontal="right"/>
    </xf>
    <xf numFmtId="164" fontId="21" fillId="0" borderId="0" xfId="8" applyNumberFormat="1" applyFont="1" applyFill="1" applyBorder="1"/>
    <xf numFmtId="176" fontId="21" fillId="0" borderId="0" xfId="0" applyNumberFormat="1" applyFont="1" applyFill="1" applyAlignment="1"/>
    <xf numFmtId="176" fontId="21" fillId="0" borderId="0" xfId="0" applyNumberFormat="1" applyFont="1" applyFill="1" applyAlignment="1">
      <alignment horizontal="center"/>
    </xf>
    <xf numFmtId="172" fontId="21" fillId="0" borderId="0" xfId="0" applyNumberFormat="1" applyFont="1" applyFill="1" applyBorder="1" applyAlignment="1"/>
    <xf numFmtId="43" fontId="21" fillId="0" borderId="0" xfId="12" applyNumberFormat="1" applyFont="1" applyFill="1" applyAlignment="1"/>
    <xf numFmtId="164" fontId="31" fillId="0" borderId="0" xfId="8" applyNumberFormat="1" applyFont="1" applyFill="1" applyBorder="1" applyAlignment="1">
      <alignment horizontal="right"/>
    </xf>
    <xf numFmtId="37" fontId="31" fillId="0" borderId="0" xfId="0" applyNumberFormat="1" applyFont="1" applyFill="1" applyBorder="1" applyAlignment="1">
      <alignment horizontal="right"/>
    </xf>
    <xf numFmtId="37" fontId="21" fillId="0" borderId="0" xfId="0" applyNumberFormat="1" applyFont="1" applyFill="1" applyBorder="1" applyAlignment="1">
      <alignment horizontal="center"/>
    </xf>
    <xf numFmtId="37" fontId="28"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79" fontId="21" fillId="0" borderId="0" xfId="12" applyNumberFormat="1" applyFont="1" applyFill="1"/>
    <xf numFmtId="43" fontId="21" fillId="0" borderId="0" xfId="0" applyNumberFormat="1" applyFont="1" applyFill="1"/>
    <xf numFmtId="10" fontId="65" fillId="10" borderId="0" xfId="49" applyNumberFormat="1" applyFont="1" applyFill="1" applyAlignment="1"/>
    <xf numFmtId="0" fontId="0" fillId="0" borderId="0" xfId="0" applyAlignment="1"/>
    <xf numFmtId="0" fontId="0" fillId="0" borderId="0" xfId="0" applyAlignment="1">
      <alignment horizontal="center"/>
    </xf>
    <xf numFmtId="0" fontId="42" fillId="0" borderId="0" xfId="16" applyFont="1" applyFill="1" applyAlignment="1">
      <alignment horizontal="center" wrapText="1"/>
    </xf>
    <xf numFmtId="9" fontId="8" fillId="0" borderId="0" xfId="49" applyFont="1" applyFill="1" applyAlignment="1">
      <alignment wrapText="1"/>
    </xf>
    <xf numFmtId="166" fontId="44" fillId="0" borderId="0" xfId="48"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9" applyNumberFormat="1" applyFont="1" applyFill="1" applyAlignment="1">
      <alignment wrapText="1"/>
    </xf>
    <xf numFmtId="0" fontId="44" fillId="0" borderId="0" xfId="0" applyFont="1" applyFill="1" applyAlignment="1">
      <alignment wrapText="1"/>
    </xf>
    <xf numFmtId="0" fontId="44" fillId="0" borderId="0" xfId="0" applyFont="1"/>
    <xf numFmtId="0" fontId="44" fillId="0" borderId="0" xfId="0" applyFont="1" applyAlignment="1">
      <alignment wrapText="1"/>
    </xf>
    <xf numFmtId="0" fontId="17" fillId="0" borderId="0" xfId="0" applyFont="1" applyFill="1" applyAlignment="1">
      <alignment horizontal="left"/>
    </xf>
    <xf numFmtId="185" fontId="44" fillId="0" borderId="6" xfId="0" applyNumberFormat="1" applyFont="1" applyFill="1" applyBorder="1"/>
    <xf numFmtId="0" fontId="21" fillId="0" borderId="0" xfId="0" applyFont="1" applyAlignment="1">
      <alignment horizontal="center"/>
    </xf>
    <xf numFmtId="0" fontId="18" fillId="0" borderId="0" xfId="0" applyFont="1" applyFill="1" applyAlignment="1">
      <alignment horizontal="center"/>
    </xf>
    <xf numFmtId="0" fontId="95" fillId="0" borderId="0" xfId="0" applyFont="1"/>
    <xf numFmtId="0" fontId="70" fillId="0" borderId="0" xfId="0" applyFont="1"/>
    <xf numFmtId="0" fontId="70" fillId="0" borderId="0" xfId="152" applyFont="1" applyAlignment="1">
      <alignment horizontal="center"/>
    </xf>
    <xf numFmtId="43" fontId="70" fillId="0" borderId="0" xfId="8" applyFont="1" applyAlignment="1">
      <alignment horizontal="center"/>
    </xf>
    <xf numFmtId="164" fontId="95" fillId="0" borderId="0" xfId="8" applyNumberFormat="1" applyFont="1"/>
    <xf numFmtId="0" fontId="70" fillId="0" borderId="0" xfId="152" applyFont="1"/>
    <xf numFmtId="10" fontId="70" fillId="0" borderId="0" xfId="12" applyNumberFormat="1" applyFont="1" applyAlignment="1">
      <alignment horizontal="center"/>
    </xf>
    <xf numFmtId="0" fontId="92" fillId="0" borderId="0" xfId="152" applyFont="1" applyAlignment="1">
      <alignment horizontal="center" vertical="center"/>
    </xf>
    <xf numFmtId="10" fontId="70" fillId="0" borderId="0" xfId="12" applyNumberFormat="1" applyFont="1" applyAlignment="1">
      <alignment horizontal="center" vertical="center"/>
    </xf>
    <xf numFmtId="0" fontId="70" fillId="0" borderId="0" xfId="152" applyFont="1" applyAlignment="1">
      <alignment horizontal="left"/>
    </xf>
    <xf numFmtId="173" fontId="70" fillId="0" borderId="0" xfId="8" applyNumberFormat="1" applyFont="1"/>
    <xf numFmtId="0" fontId="92" fillId="0" borderId="0" xfId="152" applyFont="1" applyAlignment="1">
      <alignment horizontal="left" vertical="center"/>
    </xf>
    <xf numFmtId="170" fontId="92" fillId="0" borderId="0" xfId="8" applyNumberFormat="1" applyFont="1" applyAlignment="1">
      <alignment horizontal="center"/>
    </xf>
    <xf numFmtId="0" fontId="70" fillId="0" borderId="0" xfId="152" applyFont="1" applyAlignment="1">
      <alignment horizontal="left" indent="1"/>
    </xf>
    <xf numFmtId="0" fontId="95" fillId="0" borderId="0" xfId="0" applyFont="1" applyAlignment="1">
      <alignment vertical="center" wrapText="1"/>
    </xf>
    <xf numFmtId="3" fontId="21" fillId="0" borderId="12" xfId="0" applyNumberFormat="1" applyFont="1" applyBorder="1"/>
    <xf numFmtId="3" fontId="21" fillId="0" borderId="12" xfId="0" applyNumberFormat="1" applyFont="1" applyBorder="1" applyAlignment="1">
      <alignment horizontal="center"/>
    </xf>
    <xf numFmtId="3" fontId="33" fillId="0" borderId="0" xfId="0" applyNumberFormat="1" applyFont="1" applyAlignment="1">
      <alignment horizontal="center"/>
    </xf>
    <xf numFmtId="0" fontId="8" fillId="0" borderId="0" xfId="35"/>
    <xf numFmtId="0" fontId="65" fillId="0" borderId="0" xfId="27" applyNumberFormat="1" applyFont="1" applyAlignment="1">
      <alignment horizontal="center"/>
    </xf>
    <xf numFmtId="168" fontId="65" fillId="0" borderId="0" xfId="27" applyFont="1"/>
    <xf numFmtId="0" fontId="66" fillId="0" borderId="0" xfId="28" applyFont="1" applyAlignment="1">
      <alignment horizontal="center" wrapText="1"/>
    </xf>
    <xf numFmtId="166" fontId="8" fillId="10" borderId="0" xfId="7" applyNumberFormat="1" applyFont="1" applyFill="1"/>
    <xf numFmtId="0" fontId="0" fillId="10" borderId="0" xfId="0" applyFill="1"/>
    <xf numFmtId="0" fontId="14" fillId="0" borderId="0" xfId="5" applyFont="1" applyFill="1" applyAlignment="1">
      <alignment horizontal="center"/>
    </xf>
    <xf numFmtId="164" fontId="30" fillId="0" borderId="0" xfId="50" applyNumberFormat="1" applyFont="1" applyAlignment="1"/>
    <xf numFmtId="0" fontId="97" fillId="0" borderId="0" xfId="152" applyFont="1" applyAlignment="1">
      <alignment horizontal="left" indent="1"/>
    </xf>
    <xf numFmtId="10" fontId="97" fillId="0" borderId="0" xfId="49" applyNumberFormat="1" applyFont="1" applyAlignment="1">
      <alignment horizontal="center" vertical="center" wrapText="1"/>
    </xf>
    <xf numFmtId="164" fontId="18" fillId="0" borderId="0" xfId="50" applyNumberFormat="1" applyFont="1" applyFill="1" applyBorder="1" applyAlignment="1">
      <alignment horizontal="center"/>
    </xf>
    <xf numFmtId="44" fontId="8" fillId="0" borderId="0" xfId="48" applyFont="1" applyAlignment="1">
      <alignment horizontal="center"/>
    </xf>
    <xf numFmtId="0" fontId="8" fillId="0" borderId="0" xfId="7" applyAlignment="1">
      <alignment horizontal="center"/>
    </xf>
    <xf numFmtId="164" fontId="8" fillId="0" borderId="0" xfId="50" applyNumberFormat="1" applyFont="1" applyFill="1"/>
    <xf numFmtId="2" fontId="8" fillId="0" borderId="0" xfId="0" applyNumberFormat="1" applyFont="1" applyFill="1"/>
    <xf numFmtId="164" fontId="8" fillId="0" borderId="1" xfId="50" applyNumberFormat="1" applyFont="1" applyFill="1" applyBorder="1"/>
    <xf numFmtId="166" fontId="8" fillId="0" borderId="1" xfId="6" applyNumberFormat="1" applyFont="1" applyFill="1" applyBorder="1" applyAlignment="1">
      <alignment horizontal="center"/>
    </xf>
    <xf numFmtId="3" fontId="8" fillId="0" borderId="0" xfId="0" applyNumberFormat="1" applyFont="1" applyFill="1" applyBorder="1" applyAlignment="1">
      <alignment horizontal="center"/>
    </xf>
    <xf numFmtId="166" fontId="8" fillId="0" borderId="1" xfId="6" applyNumberFormat="1" applyFont="1" applyFill="1" applyBorder="1" applyAlignment="1">
      <alignment horizontal="right"/>
    </xf>
    <xf numFmtId="166" fontId="8" fillId="0" borderId="0" xfId="6" applyNumberFormat="1" applyFont="1" applyFill="1" applyBorder="1" applyAlignment="1">
      <alignment horizontal="center"/>
    </xf>
    <xf numFmtId="0" fontId="0" fillId="0" borderId="0" xfId="0"/>
    <xf numFmtId="0" fontId="21" fillId="0" borderId="0" xfId="0" applyFont="1" applyFill="1"/>
    <xf numFmtId="0" fontId="21" fillId="0" borderId="0" xfId="0" applyFont="1" applyAlignment="1"/>
    <xf numFmtId="3" fontId="21" fillId="0" borderId="0" xfId="0" applyNumberFormat="1" applyFont="1" applyBorder="1" applyAlignment="1"/>
    <xf numFmtId="3" fontId="21" fillId="0" borderId="0" xfId="0" applyNumberFormat="1" applyFont="1" applyFill="1" applyBorder="1" applyAlignment="1"/>
    <xf numFmtId="3" fontId="21" fillId="0" borderId="0" xfId="0" applyNumberFormat="1" applyFont="1" applyAlignment="1"/>
    <xf numFmtId="3" fontId="21" fillId="0" borderId="12" xfId="0" applyNumberFormat="1" applyFont="1" applyFill="1" applyBorder="1" applyAlignment="1"/>
    <xf numFmtId="0" fontId="21" fillId="0" borderId="0" xfId="0" applyFont="1" applyFill="1" applyAlignment="1"/>
    <xf numFmtId="0" fontId="21" fillId="0" borderId="0" xfId="0" applyNumberFormat="1" applyFont="1" applyFill="1" applyBorder="1" applyAlignment="1"/>
    <xf numFmtId="0" fontId="21" fillId="0" borderId="0" xfId="0" applyFont="1" applyFill="1" applyBorder="1"/>
    <xf numFmtId="0" fontId="21" fillId="0" borderId="19" xfId="0" applyFont="1" applyFill="1" applyBorder="1"/>
    <xf numFmtId="0" fontId="21" fillId="0" borderId="0" xfId="0" applyNumberFormat="1" applyFont="1" applyFill="1" applyBorder="1" applyAlignment="1">
      <alignment horizontal="left"/>
    </xf>
    <xf numFmtId="0" fontId="31" fillId="0" borderId="0" xfId="0" applyNumberFormat="1" applyFont="1" applyFill="1" applyBorder="1" applyAlignment="1">
      <alignment horizontal="left"/>
    </xf>
    <xf numFmtId="0" fontId="21" fillId="0" borderId="19" xfId="0" applyNumberFormat="1" applyFont="1" applyFill="1" applyBorder="1" applyAlignment="1">
      <alignment horizontal="left"/>
    </xf>
    <xf numFmtId="0" fontId="21" fillId="0" borderId="0" xfId="0" applyFont="1" applyBorder="1"/>
    <xf numFmtId="3" fontId="21" fillId="0" borderId="0" xfId="0" applyNumberFormat="1" applyFont="1" applyFill="1" applyBorder="1" applyAlignment="1">
      <alignment horizontal="right"/>
    </xf>
    <xf numFmtId="3" fontId="21" fillId="2" borderId="0" xfId="0" applyNumberFormat="1" applyFont="1" applyFill="1" applyBorder="1" applyAlignment="1">
      <alignment horizontal="right"/>
    </xf>
    <xf numFmtId="0" fontId="21" fillId="0" borderId="12" xfId="0" applyNumberFormat="1" applyFont="1" applyFill="1" applyBorder="1" applyAlignment="1">
      <alignment horizontal="left"/>
    </xf>
    <xf numFmtId="0" fontId="21" fillId="0" borderId="12" xfId="0" applyFont="1" applyFill="1" applyBorder="1"/>
    <xf numFmtId="3" fontId="21" fillId="0" borderId="0" xfId="50" applyNumberFormat="1" applyFont="1" applyFill="1" applyBorder="1" applyAlignment="1">
      <alignment horizontal="right"/>
    </xf>
    <xf numFmtId="3" fontId="21" fillId="2" borderId="0" xfId="50" applyNumberFormat="1" applyFont="1" applyFill="1" applyAlignment="1"/>
    <xf numFmtId="3" fontId="21" fillId="2" borderId="12" xfId="50" applyNumberFormat="1" applyFont="1" applyFill="1" applyBorder="1" applyAlignment="1"/>
    <xf numFmtId="3" fontId="21" fillId="0" borderId="19" xfId="50" applyNumberFormat="1" applyFont="1" applyFill="1" applyBorder="1" applyAlignment="1">
      <alignment horizontal="right"/>
    </xf>
    <xf numFmtId="3" fontId="21" fillId="10" borderId="12" xfId="0" quotePrefix="1" applyNumberFormat="1" applyFont="1" applyFill="1" applyBorder="1" applyAlignment="1">
      <alignment horizontal="right"/>
    </xf>
    <xf numFmtId="0" fontId="21" fillId="0" borderId="0" xfId="0" applyFont="1"/>
    <xf numFmtId="0" fontId="21" fillId="0" borderId="0" xfId="0" applyFont="1" applyAlignment="1"/>
    <xf numFmtId="0" fontId="21" fillId="0" borderId="0" xfId="0" applyNumberFormat="1" applyFont="1" applyAlignment="1">
      <alignment horizontal="center"/>
    </xf>
    <xf numFmtId="0" fontId="21" fillId="0" borderId="0" xfId="0" applyNumberFormat="1" applyFont="1" applyFill="1" applyBorder="1" applyAlignment="1"/>
    <xf numFmtId="0" fontId="30" fillId="0" borderId="0" xfId="0" applyNumberFormat="1" applyFont="1" applyFill="1"/>
    <xf numFmtId="10" fontId="30" fillId="0" borderId="0" xfId="0" applyNumberFormat="1" applyFont="1" applyFill="1"/>
    <xf numFmtId="0" fontId="21" fillId="0" borderId="0" xfId="0" applyNumberFormat="1" applyFont="1" applyFill="1"/>
    <xf numFmtId="168" fontId="21" fillId="0" borderId="0" xfId="0" applyNumberFormat="1" applyFont="1" applyAlignment="1"/>
    <xf numFmtId="173" fontId="21" fillId="0" borderId="0" xfId="50" applyNumberFormat="1" applyFont="1" applyFill="1"/>
    <xf numFmtId="0" fontId="21" fillId="0" borderId="0" xfId="0" applyNumberFormat="1" applyFont="1" applyAlignment="1">
      <alignment horizontal="left"/>
    </xf>
    <xf numFmtId="0" fontId="21" fillId="0" borderId="0" xfId="0" applyNumberFormat="1" applyFont="1" applyFill="1" applyAlignment="1"/>
    <xf numFmtId="0" fontId="21" fillId="0" borderId="0" xfId="0" applyFont="1"/>
    <xf numFmtId="3" fontId="21" fillId="0" borderId="0" xfId="0" applyNumberFormat="1" applyFont="1" applyBorder="1" applyAlignment="1"/>
    <xf numFmtId="3" fontId="21" fillId="0" borderId="0" xfId="0" applyNumberFormat="1" applyFont="1" applyFill="1" applyBorder="1" applyAlignment="1"/>
    <xf numFmtId="0" fontId="21" fillId="0" borderId="0" xfId="0" applyNumberFormat="1" applyFont="1" applyAlignment="1">
      <alignment horizontal="center"/>
    </xf>
    <xf numFmtId="0" fontId="21" fillId="0" borderId="0" xfId="0" applyNumberFormat="1" applyFont="1" applyBorder="1" applyAlignment="1">
      <alignment horizontal="left"/>
    </xf>
    <xf numFmtId="3" fontId="32" fillId="0" borderId="0" xfId="0" applyNumberFormat="1" applyFont="1" applyBorder="1" applyAlignment="1">
      <alignment horizontal="right"/>
    </xf>
    <xf numFmtId="0" fontId="21" fillId="0" borderId="0" xfId="0" applyFont="1" applyFill="1" applyBorder="1" applyAlignment="1"/>
    <xf numFmtId="0" fontId="21" fillId="0" borderId="0" xfId="0" applyFont="1" applyAlignment="1"/>
    <xf numFmtId="3" fontId="21" fillId="0" borderId="0" xfId="0" applyNumberFormat="1" applyFont="1" applyBorder="1" applyAlignment="1"/>
    <xf numFmtId="0" fontId="21" fillId="0" borderId="0" xfId="0" applyNumberFormat="1" applyFont="1" applyAlignment="1">
      <alignment horizontal="center"/>
    </xf>
    <xf numFmtId="0" fontId="21" fillId="0" borderId="0" xfId="0" applyNumberFormat="1" applyFont="1" applyAlignment="1">
      <alignment horizontal="left"/>
    </xf>
    <xf numFmtId="0" fontId="21" fillId="0" borderId="12" xfId="0" applyFont="1" applyBorder="1" applyAlignment="1"/>
    <xf numFmtId="3" fontId="21" fillId="0" borderId="12" xfId="0" applyNumberFormat="1" applyFont="1" applyBorder="1" applyAlignment="1"/>
    <xf numFmtId="0" fontId="21" fillId="0" borderId="0" xfId="0" applyNumberFormat="1" applyFont="1" applyBorder="1" applyAlignment="1">
      <alignment horizontal="left"/>
    </xf>
    <xf numFmtId="0" fontId="21" fillId="0" borderId="12" xfId="0" applyNumberFormat="1" applyFont="1" applyBorder="1" applyAlignment="1">
      <alignment horizontal="left"/>
    </xf>
    <xf numFmtId="0" fontId="21" fillId="0" borderId="12" xfId="0" applyNumberFormat="1" applyFont="1" applyBorder="1" applyAlignment="1"/>
    <xf numFmtId="0" fontId="21" fillId="0" borderId="0" xfId="0" applyFont="1" applyFill="1" applyBorder="1" applyAlignment="1"/>
    <xf numFmtId="0" fontId="34" fillId="0" borderId="0" xfId="0" applyNumberFormat="1" applyFont="1" applyFill="1" applyBorder="1" applyAlignment="1">
      <alignment horizontal="center"/>
    </xf>
    <xf numFmtId="3" fontId="34" fillId="0" borderId="0" xfId="0" applyNumberFormat="1" applyFont="1" applyBorder="1" applyAlignment="1"/>
    <xf numFmtId="3" fontId="21" fillId="0" borderId="0" xfId="0" applyNumberFormat="1" applyFont="1"/>
    <xf numFmtId="3" fontId="21" fillId="0" borderId="19" xfId="0" applyNumberFormat="1" applyFont="1" applyBorder="1" applyAlignment="1">
      <alignment horizontal="right"/>
    </xf>
    <xf numFmtId="0" fontId="21" fillId="0" borderId="12" xfId="0" applyFont="1" applyFill="1" applyBorder="1" applyAlignment="1"/>
    <xf numFmtId="3" fontId="33" fillId="0" borderId="0" xfId="0" applyNumberFormat="1" applyFont="1" applyBorder="1" applyAlignment="1">
      <alignment horizontal="right"/>
    </xf>
    <xf numFmtId="3" fontId="34" fillId="0" borderId="0" xfId="0" applyNumberFormat="1" applyFont="1" applyBorder="1" applyAlignment="1">
      <alignment horizontal="right"/>
    </xf>
    <xf numFmtId="3" fontId="21" fillId="10" borderId="0" xfId="0" applyNumberFormat="1" applyFont="1" applyFill="1"/>
    <xf numFmtId="3" fontId="33" fillId="0" borderId="12" xfId="0" applyNumberFormat="1" applyFont="1" applyBorder="1" applyAlignment="1">
      <alignment horizontal="right"/>
    </xf>
    <xf numFmtId="3" fontId="21" fillId="10" borderId="12" xfId="0" applyNumberFormat="1" applyFont="1" applyFill="1" applyBorder="1"/>
    <xf numFmtId="173" fontId="21" fillId="0" borderId="0" xfId="0" applyNumberFormat="1" applyFont="1" applyFill="1"/>
    <xf numFmtId="0" fontId="0" fillId="0" borderId="0" xfId="0"/>
    <xf numFmtId="0" fontId="21" fillId="0" borderId="0" xfId="0" applyFont="1"/>
    <xf numFmtId="0" fontId="21" fillId="0" borderId="0" xfId="0" applyNumberFormat="1" applyFont="1" applyFill="1" applyBorder="1" applyAlignment="1">
      <alignment horizontal="center"/>
    </xf>
    <xf numFmtId="168" fontId="21" fillId="0" borderId="0" xfId="0" applyNumberFormat="1" applyFont="1"/>
    <xf numFmtId="0" fontId="0" fillId="0" borderId="0" xfId="0" applyAlignment="1"/>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4" fontId="21" fillId="0" borderId="12" xfId="0" applyNumberFormat="1" applyFont="1" applyBorder="1" applyAlignment="1">
      <alignment horizontal="center"/>
    </xf>
    <xf numFmtId="173" fontId="21" fillId="0" borderId="12" xfId="12" applyNumberFormat="1" applyFont="1" applyFill="1" applyBorder="1" applyAlignment="1"/>
    <xf numFmtId="0" fontId="65" fillId="0" borderId="0" xfId="29" applyNumberFormat="1" applyFont="1" applyAlignment="1" applyProtection="1">
      <alignment horizontal="center"/>
      <protection locked="0"/>
    </xf>
    <xf numFmtId="168" fontId="66" fillId="0" borderId="19" xfId="29" applyFont="1" applyBorder="1"/>
    <xf numFmtId="168" fontId="66" fillId="0" borderId="21" xfId="29" applyFont="1" applyBorder="1" applyAlignment="1">
      <alignment horizontal="center" wrapText="1"/>
    </xf>
    <xf numFmtId="0" fontId="65" fillId="0" borderId="0" xfId="53" applyNumberFormat="1" applyFont="1" applyAlignment="1" applyProtection="1">
      <alignment horizontal="center"/>
      <protection locked="0"/>
    </xf>
    <xf numFmtId="43" fontId="65" fillId="10" borderId="30" xfId="8" applyNumberFormat="1" applyFont="1" applyFill="1" applyBorder="1"/>
    <xf numFmtId="164" fontId="65" fillId="10" borderId="33" xfId="8" applyNumberFormat="1" applyFont="1" applyFill="1" applyBorder="1" applyAlignment="1">
      <alignment horizontal="center"/>
    </xf>
    <xf numFmtId="168" fontId="65" fillId="0" borderId="0" xfId="29" applyFont="1"/>
    <xf numFmtId="0" fontId="65" fillId="0" borderId="0" xfId="8" applyNumberFormat="1" applyFont="1" applyFill="1" applyBorder="1" applyAlignment="1"/>
    <xf numFmtId="164" fontId="13" fillId="0" borderId="5" xfId="1" applyNumberFormat="1" applyFont="1" applyBorder="1"/>
    <xf numFmtId="164" fontId="13" fillId="0" borderId="7" xfId="1" applyNumberFormat="1" applyFont="1" applyBorder="1"/>
    <xf numFmtId="0" fontId="12" fillId="0" borderId="10" xfId="0" applyFont="1" applyFill="1" applyBorder="1" applyAlignment="1">
      <alignment horizontal="center"/>
    </xf>
    <xf numFmtId="164" fontId="12" fillId="0" borderId="6" xfId="4" applyNumberFormat="1" applyFont="1" applyFill="1" applyBorder="1"/>
    <xf numFmtId="166" fontId="0" fillId="0" borderId="0" xfId="0" applyNumberFormat="1" applyFill="1"/>
    <xf numFmtId="43" fontId="0" fillId="0" borderId="0" xfId="1" applyFont="1" applyFill="1"/>
    <xf numFmtId="164" fontId="12" fillId="0" borderId="5" xfId="0" applyNumberFormat="1" applyFont="1" applyFill="1" applyBorder="1"/>
    <xf numFmtId="164" fontId="12" fillId="0" borderId="0" xfId="4" applyNumberFormat="1" applyFont="1" applyFill="1" applyBorder="1"/>
    <xf numFmtId="0" fontId="65" fillId="10" borderId="27" xfId="0" applyFont="1" applyFill="1" applyBorder="1"/>
    <xf numFmtId="0" fontId="65" fillId="0" borderId="25" xfId="0" applyFont="1" applyFill="1" applyBorder="1"/>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2" fillId="8" borderId="0" xfId="0" applyFont="1" applyFill="1" applyAlignment="1">
      <alignment horizontal="center"/>
    </xf>
    <xf numFmtId="0" fontId="62" fillId="8" borderId="0" xfId="0" applyFont="1" applyFill="1" applyAlignment="1">
      <alignment horizontal="left"/>
    </xf>
    <xf numFmtId="2" fontId="62" fillId="8" borderId="0" xfId="0" applyNumberFormat="1" applyFont="1" applyFill="1" applyAlignment="1">
      <alignment horizontal="center"/>
    </xf>
    <xf numFmtId="164" fontId="62" fillId="8" borderId="0" xfId="8" applyNumberFormat="1" applyFont="1" applyFill="1" applyBorder="1"/>
    <xf numFmtId="164" fontId="38" fillId="8" borderId="0" xfId="8" applyNumberFormat="1" applyFont="1" applyFill="1" applyBorder="1" applyAlignment="1">
      <alignment horizontal="center"/>
    </xf>
    <xf numFmtId="164" fontId="62" fillId="8" borderId="0" xfId="0" applyNumberFormat="1" applyFont="1" applyFill="1"/>
    <xf numFmtId="0" fontId="38" fillId="8" borderId="0" xfId="0" applyFont="1" applyFill="1" applyAlignment="1">
      <alignment horizontal="center"/>
    </xf>
    <xf numFmtId="0" fontId="62" fillId="8" borderId="6" xfId="0" applyFont="1" applyFill="1" applyBorder="1" applyAlignment="1">
      <alignment horizontal="center"/>
    </xf>
    <xf numFmtId="0" fontId="38" fillId="8" borderId="0" xfId="0" applyFont="1" applyFill="1" applyAlignment="1">
      <alignment horizontal="left"/>
    </xf>
    <xf numFmtId="1" fontId="62" fillId="8" borderId="0" xfId="0" applyNumberFormat="1" applyFont="1" applyFill="1" applyAlignment="1">
      <alignment horizontal="center"/>
    </xf>
    <xf numFmtId="37" fontId="62" fillId="8" borderId="0" xfId="0" applyNumberFormat="1" applyFont="1" applyFill="1"/>
    <xf numFmtId="0" fontId="62" fillId="8" borderId="0" xfId="0" applyFont="1" applyFill="1"/>
    <xf numFmtId="0" fontId="62" fillId="8" borderId="6" xfId="0" applyFont="1" applyFill="1" applyBorder="1"/>
    <xf numFmtId="0" fontId="38" fillId="8" borderId="12" xfId="0" applyFont="1" applyFill="1" applyBorder="1" applyAlignment="1">
      <alignment horizontal="left"/>
    </xf>
    <xf numFmtId="0" fontId="38" fillId="8" borderId="12" xfId="0" applyFont="1" applyFill="1" applyBorder="1" applyAlignment="1">
      <alignment horizontal="center"/>
    </xf>
    <xf numFmtId="164" fontId="38" fillId="8" borderId="12" xfId="8" applyNumberFormat="1" applyFont="1" applyFill="1" applyBorder="1" applyAlignment="1">
      <alignment horizontal="center"/>
    </xf>
    <xf numFmtId="0" fontId="100" fillId="8" borderId="0" xfId="0" applyFont="1" applyFill="1" applyAlignment="1">
      <alignment horizontal="left"/>
    </xf>
    <xf numFmtId="164" fontId="62" fillId="8" borderId="0" xfId="8" applyNumberFormat="1" applyFont="1" applyFill="1" applyBorder="1" applyAlignment="1">
      <alignment horizontal="center"/>
    </xf>
    <xf numFmtId="166" fontId="62" fillId="10" borderId="0" xfId="62" applyNumberFormat="1" applyFont="1" applyFill="1" applyBorder="1"/>
    <xf numFmtId="166" fontId="62" fillId="8" borderId="0" xfId="62" applyNumberFormat="1" applyFont="1" applyFill="1" applyBorder="1" applyAlignment="1">
      <alignment horizontal="center"/>
    </xf>
    <xf numFmtId="10" fontId="62" fillId="10" borderId="0" xfId="155" applyNumberFormat="1" applyFont="1" applyFill="1" applyBorder="1" applyAlignment="1">
      <alignment horizontal="center"/>
    </xf>
    <xf numFmtId="164" fontId="62" fillId="8" borderId="0" xfId="8" quotePrefix="1" applyNumberFormat="1" applyFont="1" applyFill="1" applyBorder="1" applyAlignment="1">
      <alignment horizontal="center"/>
    </xf>
    <xf numFmtId="166" fontId="62" fillId="8" borderId="0" xfId="62" applyNumberFormat="1" applyFont="1" applyFill="1" applyBorder="1"/>
    <xf numFmtId="0" fontId="29" fillId="8" borderId="0" xfId="8" applyNumberFormat="1" applyFont="1" applyFill="1" applyBorder="1" applyAlignment="1"/>
    <xf numFmtId="0" fontId="29" fillId="8" borderId="6" xfId="8" applyNumberFormat="1" applyFont="1" applyFill="1" applyBorder="1" applyAlignment="1"/>
    <xf numFmtId="0" fontId="62" fillId="8" borderId="0" xfId="0" applyFont="1" applyFill="1" applyAlignment="1">
      <alignment horizontal="left" indent="1"/>
    </xf>
    <xf numFmtId="164" fontId="62" fillId="10" borderId="0" xfId="8" applyNumberFormat="1" applyFont="1" applyFill="1" applyBorder="1"/>
    <xf numFmtId="0" fontId="29" fillId="8" borderId="0" xfId="62" applyNumberFormat="1" applyFont="1" applyFill="1" applyBorder="1" applyAlignment="1"/>
    <xf numFmtId="0" fontId="29" fillId="8" borderId="6" xfId="62" applyNumberFormat="1" applyFont="1" applyFill="1" applyBorder="1" applyAlignment="1"/>
    <xf numFmtId="0" fontId="29" fillId="0" borderId="0" xfId="0" applyFont="1" applyAlignment="1">
      <alignment horizontal="left" indent="1"/>
    </xf>
    <xf numFmtId="0" fontId="38" fillId="8" borderId="0" xfId="0" applyFont="1" applyFill="1" applyAlignment="1">
      <alignment horizontal="left" vertical="top"/>
    </xf>
    <xf numFmtId="166" fontId="62" fillId="8" borderId="20" xfId="62" applyNumberFormat="1" applyFont="1" applyFill="1" applyBorder="1"/>
    <xf numFmtId="0" fontId="62" fillId="8" borderId="1" xfId="0" applyFont="1" applyFill="1" applyBorder="1" applyAlignment="1">
      <alignment horizontal="center"/>
    </xf>
    <xf numFmtId="164" fontId="62" fillId="8" borderId="1" xfId="8" applyNumberFormat="1" applyFont="1" applyFill="1" applyBorder="1"/>
    <xf numFmtId="164" fontId="62" fillId="8" borderId="1" xfId="0" applyNumberFormat="1" applyFont="1" applyFill="1" applyBorder="1"/>
    <xf numFmtId="0" fontId="38" fillId="8" borderId="1" xfId="0" applyFont="1" applyFill="1" applyBorder="1" applyAlignment="1">
      <alignment horizontal="center"/>
    </xf>
    <xf numFmtId="0" fontId="62" fillId="8" borderId="8" xfId="0" applyFont="1" applyFill="1" applyBorder="1" applyAlignment="1">
      <alignment horizontal="center"/>
    </xf>
    <xf numFmtId="3" fontId="65" fillId="0" borderId="0" xfId="33" applyNumberFormat="1" applyFont="1" applyAlignment="1">
      <alignment wrapText="1"/>
    </xf>
    <xf numFmtId="0" fontId="21" fillId="0" borderId="0" xfId="0" applyFont="1" applyAlignment="1">
      <alignment horizontal="center"/>
    </xf>
    <xf numFmtId="0" fontId="62" fillId="8" borderId="5" xfId="0" applyFont="1" applyFill="1" applyBorder="1" applyAlignment="1">
      <alignment horizontal="center"/>
    </xf>
    <xf numFmtId="0" fontId="62" fillId="8" borderId="35" xfId="0" applyFont="1" applyFill="1" applyBorder="1" applyAlignment="1">
      <alignment horizontal="left"/>
    </xf>
    <xf numFmtId="0" fontId="100" fillId="8" borderId="5" xfId="0" applyFont="1" applyFill="1" applyBorder="1" applyAlignment="1">
      <alignment horizontal="left"/>
    </xf>
    <xf numFmtId="0" fontId="62" fillId="8" borderId="5" xfId="0" applyFont="1" applyFill="1" applyBorder="1" applyAlignment="1">
      <alignment horizontal="left" vertical="center"/>
    </xf>
    <xf numFmtId="0" fontId="62" fillId="8" borderId="7" xfId="0" applyFont="1" applyFill="1" applyBorder="1" applyAlignment="1">
      <alignment horizontal="left" vertical="center"/>
    </xf>
    <xf numFmtId="0" fontId="63" fillId="0" borderId="0" xfId="0" applyFont="1"/>
    <xf numFmtId="0" fontId="63" fillId="0" borderId="0" xfId="0" applyFont="1" applyAlignment="1">
      <alignment horizontal="center"/>
    </xf>
    <xf numFmtId="0" fontId="85" fillId="0" borderId="0" xfId="0" applyFont="1" applyAlignment="1">
      <alignment horizontal="center"/>
    </xf>
    <xf numFmtId="0" fontId="44" fillId="0" borderId="0" xfId="0" applyFont="1" applyAlignment="1">
      <alignment horizontal="center"/>
    </xf>
    <xf numFmtId="0" fontId="63" fillId="0" borderId="0" xfId="0" applyFont="1" applyAlignment="1">
      <alignment horizontal="center" vertical="center" wrapText="1"/>
    </xf>
    <xf numFmtId="0" fontId="63" fillId="0" borderId="33" xfId="0" applyFont="1" applyBorder="1" applyAlignment="1">
      <alignment horizontal="center" vertical="center"/>
    </xf>
    <xf numFmtId="0" fontId="44" fillId="0" borderId="12" xfId="0" applyFont="1" applyBorder="1" applyAlignment="1">
      <alignment horizontal="center" vertical="center"/>
    </xf>
    <xf numFmtId="0" fontId="44" fillId="0" borderId="25" xfId="0" applyFont="1" applyBorder="1" applyAlignment="1">
      <alignment horizontal="center" vertical="center" wrapText="1"/>
    </xf>
    <xf numFmtId="164" fontId="44" fillId="10" borderId="0" xfId="50" applyNumberFormat="1" applyFont="1" applyFill="1" applyBorder="1" applyAlignment="1">
      <alignment vertical="center" wrapText="1"/>
    </xf>
    <xf numFmtId="15" fontId="44" fillId="0" borderId="0" xfId="0" applyNumberFormat="1" applyFont="1" applyAlignment="1">
      <alignment horizontal="left" vertical="center" wrapText="1" indent="1"/>
    </xf>
    <xf numFmtId="164" fontId="44" fillId="10" borderId="0" xfId="50" applyNumberFormat="1" applyFont="1" applyFill="1" applyBorder="1" applyAlignment="1">
      <alignment horizontal="right" vertical="center" wrapText="1"/>
    </xf>
    <xf numFmtId="10" fontId="44" fillId="0" borderId="0" xfId="49" applyNumberFormat="1" applyFont="1" applyFill="1"/>
    <xf numFmtId="164" fontId="44" fillId="0" borderId="0" xfId="50" applyNumberFormat="1" applyFont="1" applyFill="1" applyBorder="1" applyAlignment="1">
      <alignment horizontal="right" vertical="center" wrapText="1"/>
    </xf>
    <xf numFmtId="164" fontId="44" fillId="0" borderId="0" xfId="50" applyNumberFormat="1" applyFont="1" applyFill="1" applyBorder="1" applyAlignment="1">
      <alignment vertical="center" wrapText="1"/>
    </xf>
    <xf numFmtId="15" fontId="44" fillId="0" borderId="12" xfId="0" applyNumberFormat="1" applyFont="1" applyBorder="1" applyAlignment="1">
      <alignment horizontal="left" vertical="center" wrapText="1" indent="1"/>
    </xf>
    <xf numFmtId="0" fontId="44" fillId="10" borderId="0" xfId="50" applyNumberFormat="1" applyFont="1" applyFill="1" applyBorder="1" applyAlignment="1">
      <alignment horizontal="right" vertical="center" wrapText="1"/>
    </xf>
    <xf numFmtId="3" fontId="8" fillId="0" borderId="0" xfId="0" applyNumberFormat="1" applyFont="1"/>
    <xf numFmtId="164" fontId="44" fillId="0" borderId="19" xfId="50" applyNumberFormat="1" applyFont="1" applyFill="1" applyBorder="1" applyAlignment="1">
      <alignment vertical="center" wrapText="1"/>
    </xf>
    <xf numFmtId="0" fontId="44" fillId="0" borderId="19" xfId="0" applyFont="1" applyBorder="1" applyAlignment="1">
      <alignment vertical="center" wrapText="1"/>
    </xf>
    <xf numFmtId="0" fontId="44" fillId="0" borderId="19" xfId="0" applyFont="1" applyBorder="1" applyAlignment="1">
      <alignment horizontal="right" vertical="center" wrapText="1"/>
    </xf>
    <xf numFmtId="0" fontId="44" fillId="0" borderId="0" xfId="50" applyNumberFormat="1" applyFont="1" applyFill="1" applyBorder="1" applyAlignment="1">
      <alignment horizontal="right" vertical="center" wrapText="1"/>
    </xf>
    <xf numFmtId="164" fontId="44" fillId="0" borderId="19" xfId="50" applyNumberFormat="1" applyFont="1" applyFill="1" applyBorder="1" applyAlignment="1">
      <alignment horizontal="right" vertical="center" wrapText="1"/>
    </xf>
    <xf numFmtId="0" fontId="44" fillId="0" borderId="0" xfId="0" applyFont="1" applyAlignment="1">
      <alignment vertical="center" wrapText="1"/>
    </xf>
    <xf numFmtId="0" fontId="44" fillId="0" borderId="0" xfId="0" applyFont="1" applyAlignment="1">
      <alignment horizontal="right" vertical="center" wrapText="1"/>
    </xf>
    <xf numFmtId="0" fontId="44" fillId="0" borderId="0" xfId="0" applyFont="1" applyAlignment="1">
      <alignment horizontal="justify" vertical="center" wrapText="1"/>
    </xf>
    <xf numFmtId="0" fontId="44" fillId="0" borderId="0" xfId="0" quotePrefix="1" applyFont="1" applyAlignment="1">
      <alignment vertical="center"/>
    </xf>
    <xf numFmtId="0" fontId="101" fillId="10" borderId="0" xfId="0" applyFont="1" applyFill="1" applyAlignment="1">
      <alignment vertical="center" wrapText="1"/>
    </xf>
    <xf numFmtId="164" fontId="44" fillId="10" borderId="12" xfId="50" applyNumberFormat="1" applyFont="1" applyFill="1" applyBorder="1" applyAlignment="1">
      <alignment vertical="center" wrapText="1"/>
    </xf>
    <xf numFmtId="0" fontId="44" fillId="0" borderId="0" xfId="0" applyFont="1" applyAlignment="1">
      <alignment horizontal="right" vertical="center"/>
    </xf>
    <xf numFmtId="164" fontId="102" fillId="0" borderId="0" xfId="50" applyNumberFormat="1" applyFont="1" applyFill="1" applyBorder="1" applyAlignment="1">
      <alignment vertical="center" wrapText="1"/>
    </xf>
    <xf numFmtId="0" fontId="63" fillId="0" borderId="0" xfId="0" applyFont="1" applyAlignment="1">
      <alignment vertical="center"/>
    </xf>
    <xf numFmtId="164" fontId="44" fillId="0" borderId="34" xfId="50" applyNumberFormat="1" applyFont="1" applyFill="1" applyBorder="1" applyAlignment="1">
      <alignment vertical="center" wrapText="1"/>
    </xf>
    <xf numFmtId="0" fontId="63" fillId="0" borderId="12" xfId="0" quotePrefix="1" applyFont="1" applyBorder="1" applyAlignment="1">
      <alignment vertical="center"/>
    </xf>
    <xf numFmtId="0" fontId="63" fillId="0" borderId="12" xfId="0" applyFont="1" applyBorder="1" applyAlignment="1">
      <alignment vertical="center"/>
    </xf>
    <xf numFmtId="43" fontId="44" fillId="0" borderId="0" xfId="0" applyNumberFormat="1" applyFont="1"/>
    <xf numFmtId="0" fontId="103" fillId="12" borderId="0" xfId="0" applyFont="1" applyFill="1"/>
    <xf numFmtId="0" fontId="103" fillId="12" borderId="0" xfId="0" applyFont="1" applyFill="1" applyAlignment="1">
      <alignment horizontal="center"/>
    </xf>
    <xf numFmtId="0" fontId="20" fillId="10" borderId="0" xfId="0" applyFont="1" applyFill="1"/>
    <xf numFmtId="0" fontId="20" fillId="0" borderId="0" xfId="0" applyFont="1" applyAlignment="1">
      <alignment vertical="center" wrapText="1"/>
    </xf>
    <xf numFmtId="0" fontId="8" fillId="0" borderId="0" xfId="19" applyFont="1"/>
    <xf numFmtId="0" fontId="42" fillId="0" borderId="0" xfId="19" applyFont="1" applyAlignment="1">
      <alignment horizontal="center"/>
    </xf>
    <xf numFmtId="0" fontId="8" fillId="0" borderId="0" xfId="19" applyFont="1" applyAlignment="1">
      <alignment horizontal="left"/>
    </xf>
    <xf numFmtId="0" fontId="42" fillId="0" borderId="0" xfId="19" applyFont="1"/>
    <xf numFmtId="0" fontId="9" fillId="0" borderId="0" xfId="16" applyFont="1" applyAlignment="1">
      <alignment horizontal="center"/>
    </xf>
    <xf numFmtId="0" fontId="9" fillId="0" borderId="0" xfId="19" applyFont="1" applyAlignment="1">
      <alignment horizontal="center"/>
    </xf>
    <xf numFmtId="0" fontId="9" fillId="0" borderId="12" xfId="19" applyFont="1" applyBorder="1"/>
    <xf numFmtId="0" fontId="9" fillId="0" borderId="12" xfId="16" applyFont="1" applyBorder="1" applyAlignment="1">
      <alignment horizontal="center"/>
    </xf>
    <xf numFmtId="0" fontId="9" fillId="0" borderId="12" xfId="19" applyFont="1" applyBorder="1" applyAlignment="1">
      <alignment horizontal="center"/>
    </xf>
    <xf numFmtId="0" fontId="8" fillId="0" borderId="0" xfId="16" applyAlignment="1">
      <alignment horizontal="left" indent="1"/>
    </xf>
    <xf numFmtId="164" fontId="8" fillId="10" borderId="0" xfId="50" applyNumberFormat="1" applyFont="1" applyFill="1"/>
    <xf numFmtId="41" fontId="8" fillId="0" borderId="0" xfId="19" applyNumberFormat="1" applyFont="1"/>
    <xf numFmtId="164" fontId="8" fillId="0" borderId="12" xfId="50" applyNumberFormat="1" applyFont="1" applyFill="1" applyBorder="1"/>
    <xf numFmtId="0" fontId="9" fillId="0" borderId="0" xfId="16" applyFont="1"/>
    <xf numFmtId="37" fontId="8" fillId="0" borderId="0" xfId="19" applyNumberFormat="1" applyFont="1"/>
    <xf numFmtId="164" fontId="8" fillId="0" borderId="0" xfId="19" applyNumberFormat="1" applyFont="1"/>
    <xf numFmtId="0" fontId="9" fillId="0" borderId="12" xfId="16" applyFont="1" applyBorder="1"/>
    <xf numFmtId="164" fontId="8" fillId="0" borderId="0" xfId="20" applyNumberFormat="1" applyFont="1" applyFill="1"/>
    <xf numFmtId="0" fontId="8" fillId="0" borderId="0" xfId="19" applyFont="1" applyAlignment="1">
      <alignment horizontal="left" indent="1"/>
    </xf>
    <xf numFmtId="43" fontId="8" fillId="0" borderId="0" xfId="19" applyNumberFormat="1" applyFont="1"/>
    <xf numFmtId="0" fontId="8" fillId="0" borderId="0" xfId="16" applyAlignment="1">
      <alignment vertical="top" wrapText="1"/>
    </xf>
    <xf numFmtId="0" fontId="42" fillId="0" borderId="0" xfId="16"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3" fillId="0" borderId="32" xfId="16" applyFont="1" applyBorder="1"/>
    <xf numFmtId="0" fontId="8" fillId="0" borderId="26" xfId="16" applyBorder="1"/>
    <xf numFmtId="0" fontId="8" fillId="0" borderId="24" xfId="16" applyBorder="1"/>
    <xf numFmtId="41" fontId="8" fillId="0" borderId="23" xfId="0" applyNumberFormat="1" applyFont="1" applyBorder="1"/>
    <xf numFmtId="0" fontId="8" fillId="0" borderId="23" xfId="16" applyBorder="1" applyAlignment="1">
      <alignment wrapText="1"/>
    </xf>
    <xf numFmtId="0" fontId="63" fillId="0" borderId="22" xfId="16" applyFont="1" applyBorder="1"/>
    <xf numFmtId="0" fontId="44" fillId="10" borderId="22" xfId="16" applyFont="1" applyFill="1" applyBorder="1"/>
    <xf numFmtId="0" fontId="8" fillId="10" borderId="24" xfId="16" applyFill="1" applyBorder="1"/>
    <xf numFmtId="41" fontId="8" fillId="10" borderId="23" xfId="0" applyNumberFormat="1" applyFont="1" applyFill="1" applyBorder="1"/>
    <xf numFmtId="0" fontId="104" fillId="2" borderId="23" xfId="16" applyFont="1" applyFill="1" applyBorder="1" applyAlignment="1">
      <alignment wrapText="1"/>
    </xf>
    <xf numFmtId="0" fontId="8" fillId="0" borderId="23" xfId="16" applyBorder="1" applyAlignment="1">
      <alignment horizontal="left" indent="1"/>
    </xf>
    <xf numFmtId="0" fontId="42" fillId="0" borderId="23" xfId="16" applyFont="1" applyBorder="1"/>
    <xf numFmtId="0" fontId="8" fillId="0" borderId="23" xfId="19" applyFont="1" applyBorder="1"/>
    <xf numFmtId="41" fontId="8" fillId="0" borderId="23" xfId="19" applyNumberFormat="1" applyFont="1" applyBorder="1"/>
    <xf numFmtId="10" fontId="8" fillId="2" borderId="0" xfId="49" applyNumberFormat="1" applyFont="1" applyFill="1"/>
    <xf numFmtId="0" fontId="8" fillId="0" borderId="23" xfId="19" applyFont="1" applyBorder="1" applyAlignment="1">
      <alignment wrapText="1"/>
    </xf>
    <xf numFmtId="0" fontId="9" fillId="0" borderId="23" xfId="16" applyFont="1" applyBorder="1"/>
    <xf numFmtId="0" fontId="2" fillId="0" borderId="0" xfId="19" applyFont="1"/>
    <xf numFmtId="0" fontId="8" fillId="0" borderId="0" xfId="19" applyFont="1" applyAlignment="1">
      <alignment wrapText="1"/>
    </xf>
    <xf numFmtId="0" fontId="8" fillId="2" borderId="24" xfId="16" applyFill="1" applyBorder="1"/>
    <xf numFmtId="37" fontId="8" fillId="2" borderId="24" xfId="16" applyNumberFormat="1" applyFill="1" applyBorder="1"/>
    <xf numFmtId="37" fontId="8" fillId="2" borderId="23" xfId="16" applyNumberFormat="1" applyFill="1" applyBorder="1"/>
    <xf numFmtId="41" fontId="8" fillId="2" borderId="23" xfId="16" applyNumberFormat="1" applyFill="1" applyBorder="1"/>
    <xf numFmtId="0" fontId="8" fillId="2" borderId="23" xfId="16" applyFill="1" applyBorder="1" applyAlignment="1">
      <alignment wrapText="1"/>
    </xf>
    <xf numFmtId="0" fontId="44" fillId="10" borderId="32" xfId="16" applyFont="1" applyFill="1" applyBorder="1"/>
    <xf numFmtId="0" fontId="8" fillId="10" borderId="26" xfId="16" applyFill="1" applyBorder="1"/>
    <xf numFmtId="0" fontId="8" fillId="10" borderId="23" xfId="16" applyFill="1" applyBorder="1"/>
    <xf numFmtId="0" fontId="63" fillId="0" borderId="29" xfId="16" applyFont="1" applyBorder="1"/>
    <xf numFmtId="0" fontId="8" fillId="0" borderId="30" xfId="16" applyBorder="1"/>
    <xf numFmtId="0" fontId="2" fillId="0" borderId="22" xfId="19" applyFont="1" applyBorder="1"/>
    <xf numFmtId="0" fontId="8" fillId="0" borderId="24" xfId="19" applyFont="1" applyBorder="1"/>
    <xf numFmtId="0" fontId="8" fillId="0" borderId="25" xfId="16" applyBorder="1" applyAlignment="1">
      <alignment horizontal="left" indent="1"/>
    </xf>
    <xf numFmtId="0" fontId="42" fillId="0" borderId="25" xfId="16" applyFont="1" applyBorder="1"/>
    <xf numFmtId="0" fontId="8" fillId="0" borderId="0" xfId="16" applyAlignment="1">
      <alignment horizontal="left"/>
    </xf>
    <xf numFmtId="0" fontId="9" fillId="0" borderId="23" xfId="19" applyFont="1" applyBorder="1"/>
    <xf numFmtId="0" fontId="63" fillId="0" borderId="0" xfId="16" applyFont="1"/>
    <xf numFmtId="37" fontId="8" fillId="0" borderId="0" xfId="16" applyNumberFormat="1"/>
    <xf numFmtId="37" fontId="8" fillId="0" borderId="0" xfId="16" applyNumberFormat="1" applyAlignment="1">
      <alignment horizontal="center"/>
    </xf>
    <xf numFmtId="0" fontId="8" fillId="0" borderId="0" xfId="16" applyAlignment="1">
      <alignment horizontal="center"/>
    </xf>
    <xf numFmtId="0" fontId="8" fillId="0" borderId="0" xfId="16" applyAlignment="1">
      <alignment wrapText="1"/>
    </xf>
    <xf numFmtId="37" fontId="8" fillId="0" borderId="0" xfId="16" applyNumberFormat="1" applyAlignment="1">
      <alignment wrapText="1"/>
    </xf>
    <xf numFmtId="0" fontId="63" fillId="0" borderId="0" xfId="16" applyFont="1" applyAlignment="1">
      <alignment horizontal="left"/>
    </xf>
    <xf numFmtId="0" fontId="104" fillId="0" borderId="0" xfId="16" applyFont="1" applyAlignment="1">
      <alignment wrapText="1"/>
    </xf>
    <xf numFmtId="37" fontId="8" fillId="0" borderId="0" xfId="19" applyNumberFormat="1" applyFont="1" applyAlignment="1">
      <alignment horizontal="center"/>
    </xf>
    <xf numFmtId="0" fontId="8" fillId="0" borderId="0" xfId="19" applyFont="1" applyAlignment="1">
      <alignment horizontal="center"/>
    </xf>
    <xf numFmtId="0" fontId="4" fillId="0" borderId="0" xfId="19" applyFont="1"/>
    <xf numFmtId="0" fontId="8" fillId="2" borderId="22" xfId="16" applyFill="1" applyBorder="1"/>
    <xf numFmtId="0" fontId="8" fillId="2" borderId="23" xfId="16" applyFill="1" applyBorder="1" applyAlignment="1">
      <alignment vertical="top" wrapText="1"/>
    </xf>
    <xf numFmtId="0" fontId="9" fillId="0" borderId="0" xfId="16" applyFont="1" applyAlignment="1">
      <alignment horizontal="left"/>
    </xf>
    <xf numFmtId="0" fontId="9" fillId="0" borderId="0" xfId="19" applyFont="1" applyAlignment="1">
      <alignment horizontal="centerContinuous"/>
    </xf>
    <xf numFmtId="0" fontId="4" fillId="0" borderId="0" xfId="19" applyFont="1" applyAlignment="1">
      <alignment horizontal="centerContinuous"/>
    </xf>
    <xf numFmtId="0" fontId="8" fillId="0" borderId="0" xfId="19" applyFont="1" applyAlignment="1">
      <alignment horizontal="centerContinuous"/>
    </xf>
    <xf numFmtId="0" fontId="8" fillId="2" borderId="23" xfId="0" applyFont="1" applyFill="1" applyBorder="1" applyAlignment="1">
      <alignment vertical="top" wrapText="1"/>
    </xf>
    <xf numFmtId="0" fontId="8" fillId="2" borderId="23" xfId="16" applyFill="1" applyBorder="1"/>
    <xf numFmtId="0" fontId="2" fillId="0" borderId="23" xfId="19" applyFont="1" applyBorder="1"/>
    <xf numFmtId="0" fontId="8" fillId="0" borderId="23" xfId="16" applyBorder="1"/>
    <xf numFmtId="0" fontId="48" fillId="6" borderId="0" xfId="0" applyFont="1" applyFill="1" applyAlignment="1">
      <alignment horizontal="left"/>
    </xf>
    <xf numFmtId="0" fontId="21" fillId="6" borderId="0" xfId="0" applyFont="1" applyFill="1" applyAlignment="1">
      <alignment horizontal="center"/>
    </xf>
    <xf numFmtId="0" fontId="44" fillId="0" borderId="0" xfId="0" applyFont="1" applyAlignment="1">
      <alignment vertical="center"/>
    </xf>
    <xf numFmtId="0" fontId="63" fillId="0" borderId="32" xfId="0" applyFont="1" applyBorder="1" applyAlignment="1">
      <alignment vertical="center"/>
    </xf>
    <xf numFmtId="0" fontId="44" fillId="0" borderId="26" xfId="0" applyFont="1" applyBorder="1" applyAlignment="1">
      <alignment vertical="center" wrapText="1"/>
    </xf>
    <xf numFmtId="0" fontId="63" fillId="0" borderId="32" xfId="0" applyFont="1" applyBorder="1" applyAlignment="1">
      <alignment horizontal="left" vertical="center" indent="1"/>
    </xf>
    <xf numFmtId="0" fontId="44" fillId="0" borderId="26" xfId="0" applyFont="1" applyBorder="1"/>
    <xf numFmtId="0" fontId="63" fillId="0" borderId="23" xfId="0" applyFont="1" applyBorder="1" applyAlignment="1">
      <alignment horizontal="center" wrapText="1"/>
    </xf>
    <xf numFmtId="0" fontId="63" fillId="0" borderId="22" xfId="0" applyFont="1" applyBorder="1" applyAlignment="1">
      <alignment vertical="center"/>
    </xf>
    <xf numFmtId="0" fontId="44" fillId="0" borderId="24" xfId="0" applyFont="1" applyBorder="1" applyAlignment="1">
      <alignment vertical="center" wrapText="1"/>
    </xf>
    <xf numFmtId="0" fontId="63" fillId="0" borderId="22" xfId="0" applyFont="1" applyBorder="1" applyAlignment="1">
      <alignment horizontal="left" vertical="center" indent="1"/>
    </xf>
    <xf numFmtId="0" fontId="44" fillId="0" borderId="24" xfId="0" applyFont="1" applyBorder="1"/>
    <xf numFmtId="0" fontId="44" fillId="0" borderId="0" xfId="0" applyFont="1" applyAlignment="1">
      <alignment horizontal="left" indent="1"/>
    </xf>
    <xf numFmtId="3" fontId="8" fillId="0" borderId="0" xfId="0" applyNumberFormat="1" applyFont="1" applyAlignment="1">
      <alignment horizontal="left" indent="1"/>
    </xf>
    <xf numFmtId="166" fontId="44" fillId="0" borderId="0" xfId="48" applyNumberFormat="1" applyFont="1" applyFill="1"/>
    <xf numFmtId="166" fontId="44" fillId="10" borderId="0" xfId="48" applyNumberFormat="1" applyFont="1" applyFill="1"/>
    <xf numFmtId="164" fontId="44" fillId="10" borderId="0" xfId="0" applyNumberFormat="1" applyFont="1" applyFill="1"/>
    <xf numFmtId="166" fontId="44" fillId="0" borderId="0" xfId="48" applyNumberFormat="1" applyFont="1"/>
    <xf numFmtId="166" fontId="63" fillId="0" borderId="21" xfId="48" applyNumberFormat="1" applyFont="1" applyBorder="1"/>
    <xf numFmtId="3" fontId="8" fillId="0" borderId="0" xfId="0" applyNumberFormat="1" applyFont="1" applyAlignment="1">
      <alignment horizontal="left"/>
    </xf>
    <xf numFmtId="0" fontId="87" fillId="0" borderId="0" xfId="0" applyFont="1" applyAlignment="1">
      <alignment horizontal="left"/>
    </xf>
    <xf numFmtId="0" fontId="44" fillId="0" borderId="0" xfId="0" quotePrefix="1" applyFont="1"/>
    <xf numFmtId="0" fontId="44" fillId="10" borderId="0" xfId="0" quotePrefix="1" applyFont="1" applyFill="1"/>
    <xf numFmtId="0" fontId="44" fillId="0" borderId="0" xfId="0" applyFont="1" applyAlignment="1">
      <alignment horizontal="center" vertical="center"/>
    </xf>
    <xf numFmtId="0" fontId="44" fillId="0" borderId="12" xfId="0" quotePrefix="1" applyFont="1" applyBorder="1" applyAlignment="1">
      <alignment horizontal="center" vertical="center" wrapText="1"/>
    </xf>
    <xf numFmtId="164" fontId="44" fillId="0" borderId="0" xfId="0" applyNumberFormat="1" applyFont="1"/>
    <xf numFmtId="164" fontId="63" fillId="0" borderId="12" xfId="0" applyNumberFormat="1" applyFont="1" applyBorder="1"/>
    <xf numFmtId="164" fontId="44" fillId="0" borderId="0" xfId="0" applyNumberFormat="1" applyFont="1" applyAlignment="1">
      <alignment horizontal="center"/>
    </xf>
    <xf numFmtId="42" fontId="44" fillId="0" borderId="0" xfId="0" applyNumberFormat="1" applyFont="1"/>
    <xf numFmtId="166" fontId="44" fillId="0" borderId="0" xfId="0" applyNumberFormat="1" applyFont="1"/>
    <xf numFmtId="164" fontId="101" fillId="0" borderId="0" xfId="50" applyNumberFormat="1" applyFont="1" applyFill="1"/>
    <xf numFmtId="164" fontId="44" fillId="10" borderId="0" xfId="50" applyNumberFormat="1" applyFont="1" applyFill="1"/>
    <xf numFmtId="0" fontId="44" fillId="0" borderId="12" xfId="0" applyFont="1" applyBorder="1"/>
    <xf numFmtId="166" fontId="44" fillId="0" borderId="34" xfId="48" applyNumberFormat="1" applyFont="1" applyBorder="1"/>
    <xf numFmtId="44" fontId="44" fillId="0" borderId="0" xfId="0" applyNumberFormat="1" applyFont="1"/>
    <xf numFmtId="15" fontId="44" fillId="0" borderId="0" xfId="0" quotePrefix="1" applyNumberFormat="1" applyFont="1"/>
    <xf numFmtId="166" fontId="44" fillId="0" borderId="19" xfId="48" applyNumberFormat="1" applyFont="1" applyBorder="1"/>
    <xf numFmtId="166" fontId="44" fillId="0" borderId="21" xfId="48" applyNumberFormat="1" applyFont="1" applyBorder="1"/>
    <xf numFmtId="43" fontId="44" fillId="10" borderId="0" xfId="50" applyFont="1" applyFill="1"/>
    <xf numFmtId="166" fontId="44" fillId="0" borderId="20" xfId="48" applyNumberFormat="1" applyFont="1" applyBorder="1"/>
    <xf numFmtId="164" fontId="44" fillId="0" borderId="0" xfId="50" applyNumberFormat="1" applyFont="1"/>
    <xf numFmtId="0" fontId="8" fillId="0" borderId="0" xfId="0" applyFont="1" applyAlignment="1">
      <alignment vertical="top" wrapText="1"/>
    </xf>
    <xf numFmtId="0" fontId="44" fillId="0" borderId="0" xfId="154"/>
    <xf numFmtId="0" fontId="44" fillId="0" borderId="0" xfId="154" applyAlignment="1">
      <alignment horizontal="center"/>
    </xf>
    <xf numFmtId="0" fontId="44" fillId="0" borderId="0" xfId="154" applyAlignment="1">
      <alignment horizontal="left"/>
    </xf>
    <xf numFmtId="0" fontId="85" fillId="0" borderId="0" xfId="154" applyFont="1"/>
    <xf numFmtId="0" fontId="85" fillId="0" borderId="0" xfId="154" applyFont="1" applyAlignment="1">
      <alignment horizontal="left"/>
    </xf>
    <xf numFmtId="0" fontId="105" fillId="0" borderId="0" xfId="154" applyFont="1"/>
    <xf numFmtId="0" fontId="85" fillId="0" borderId="0" xfId="154" applyFont="1" applyAlignment="1">
      <alignment horizontal="center"/>
    </xf>
    <xf numFmtId="0" fontId="8" fillId="0" borderId="0" xfId="154" applyFont="1"/>
    <xf numFmtId="0" fontId="87" fillId="0" borderId="12" xfId="0" applyFont="1" applyBorder="1" applyAlignment="1">
      <alignment horizontal="center" wrapText="1"/>
    </xf>
    <xf numFmtId="0" fontId="87" fillId="0" borderId="12" xfId="0" applyFont="1" applyBorder="1" applyAlignment="1">
      <alignment horizontal="left" wrapText="1"/>
    </xf>
    <xf numFmtId="0" fontId="103" fillId="0" borderId="0" xfId="154" applyFont="1" applyAlignment="1">
      <alignment horizontal="left"/>
    </xf>
    <xf numFmtId="0" fontId="87" fillId="0" borderId="0" xfId="0" applyFont="1" applyAlignment="1">
      <alignment horizontal="left" wrapText="1" indent="1"/>
    </xf>
    <xf numFmtId="0" fontId="87" fillId="0" borderId="0" xfId="0" applyFont="1" applyAlignment="1">
      <alignment horizontal="center" wrapText="1"/>
    </xf>
    <xf numFmtId="0" fontId="103" fillId="0" borderId="0" xfId="154" applyFont="1" applyAlignment="1">
      <alignment horizontal="center" wrapText="1"/>
    </xf>
    <xf numFmtId="0" fontId="108" fillId="0" borderId="0" xfId="154" applyFont="1"/>
    <xf numFmtId="0" fontId="87" fillId="0" borderId="0" xfId="0" applyFont="1" applyAlignment="1">
      <alignment horizontal="left" wrapText="1"/>
    </xf>
    <xf numFmtId="0" fontId="109" fillId="0" borderId="0" xfId="0" applyFont="1"/>
    <xf numFmtId="0" fontId="62" fillId="0" borderId="0" xfId="0" applyFont="1" applyAlignment="1">
      <alignment horizontal="center"/>
    </xf>
    <xf numFmtId="164" fontId="62" fillId="10" borderId="0" xfId="0" applyNumberFormat="1" applyFont="1" applyFill="1"/>
    <xf numFmtId="42" fontId="62" fillId="10" borderId="0" xfId="50" applyNumberFormat="1" applyFont="1" applyFill="1" applyBorder="1"/>
    <xf numFmtId="42" fontId="62" fillId="0" borderId="0" xfId="50" applyNumberFormat="1" applyFont="1" applyFill="1" applyBorder="1"/>
    <xf numFmtId="164" fontId="0" fillId="0" borderId="0" xfId="153" applyNumberFormat="1" applyFont="1" applyFill="1" applyBorder="1" applyProtection="1">
      <protection locked="0"/>
    </xf>
    <xf numFmtId="164" fontId="62" fillId="0" borderId="0" xfId="0" applyNumberFormat="1" applyFont="1"/>
    <xf numFmtId="164" fontId="0" fillId="0" borderId="0" xfId="153" applyNumberFormat="1" applyFont="1" applyFill="1" applyProtection="1"/>
    <xf numFmtId="167" fontId="0" fillId="0" borderId="0" xfId="49" applyNumberFormat="1" applyFont="1" applyFill="1" applyProtection="1"/>
    <xf numFmtId="164" fontId="62" fillId="10" borderId="0" xfId="50" applyNumberFormat="1" applyFont="1" applyFill="1" applyBorder="1"/>
    <xf numFmtId="164" fontId="62" fillId="0" borderId="0" xfId="50" applyNumberFormat="1" applyFont="1" applyFill="1" applyBorder="1"/>
    <xf numFmtId="164" fontId="0" fillId="0" borderId="0" xfId="50" applyNumberFormat="1" applyFont="1" applyFill="1" applyBorder="1" applyProtection="1">
      <protection locked="0"/>
    </xf>
    <xf numFmtId="164" fontId="44" fillId="0" borderId="0" xfId="50" applyNumberFormat="1" applyFont="1" applyFill="1" applyProtection="1"/>
    <xf numFmtId="164" fontId="87" fillId="0" borderId="0" xfId="0" applyNumberFormat="1" applyFont="1"/>
    <xf numFmtId="42" fontId="87" fillId="0" borderId="19" xfId="50" applyNumberFormat="1" applyFont="1" applyFill="1" applyBorder="1"/>
    <xf numFmtId="0" fontId="111" fillId="0" borderId="0" xfId="154" applyFont="1" applyAlignment="1">
      <alignment horizontal="left"/>
    </xf>
    <xf numFmtId="0" fontId="111" fillId="0" borderId="0" xfId="154" applyFont="1" applyAlignment="1">
      <alignment horizontal="center"/>
    </xf>
    <xf numFmtId="0" fontId="63" fillId="0" borderId="0" xfId="154" applyFont="1" applyAlignment="1">
      <alignment horizontal="left"/>
    </xf>
    <xf numFmtId="42" fontId="87" fillId="0" borderId="20" xfId="0" applyNumberFormat="1" applyFont="1" applyBorder="1"/>
    <xf numFmtId="164" fontId="44" fillId="0" borderId="0" xfId="0" applyNumberFormat="1" applyFont="1" applyAlignment="1">
      <alignment horizontal="right"/>
    </xf>
    <xf numFmtId="166" fontId="62" fillId="0" borderId="0" xfId="48" applyNumberFormat="1" applyFont="1" applyFill="1"/>
    <xf numFmtId="0" fontId="44" fillId="0" borderId="0" xfId="0" applyFont="1" applyAlignment="1">
      <alignment horizontal="right"/>
    </xf>
    <xf numFmtId="164" fontId="62" fillId="0" borderId="0" xfId="50" applyNumberFormat="1" applyFont="1" applyFill="1"/>
    <xf numFmtId="0" fontId="63" fillId="0" borderId="0" xfId="0" applyFont="1" applyAlignment="1">
      <alignment horizontal="right"/>
    </xf>
    <xf numFmtId="166" fontId="62" fillId="0" borderId="19" xfId="48" applyNumberFormat="1" applyFont="1" applyFill="1" applyBorder="1"/>
    <xf numFmtId="0" fontId="11" fillId="0" borderId="0" xfId="154" applyFont="1" applyAlignment="1">
      <alignment horizontal="left"/>
    </xf>
    <xf numFmtId="166" fontId="62" fillId="0" borderId="20" xfId="48" applyNumberFormat="1" applyFont="1" applyFill="1" applyBorder="1"/>
    <xf numFmtId="0" fontId="8" fillId="0" borderId="0" xfId="154" applyFont="1" applyAlignment="1">
      <alignment horizontal="left"/>
    </xf>
    <xf numFmtId="0" fontId="63" fillId="0" borderId="0" xfId="0" applyFont="1" applyAlignment="1">
      <alignment horizontal="left"/>
    </xf>
    <xf numFmtId="164" fontId="44" fillId="0" borderId="0" xfId="8" applyNumberFormat="1" applyFont="1" applyFill="1" applyBorder="1"/>
    <xf numFmtId="0" fontId="20" fillId="0" borderId="0" xfId="0" applyFont="1" applyAlignment="1">
      <alignment vertical="top" wrapText="1"/>
    </xf>
    <xf numFmtId="0" fontId="8" fillId="0" borderId="0" xfId="154" applyFont="1" applyAlignment="1">
      <alignment horizontal="center" vertical="center"/>
    </xf>
    <xf numFmtId="164" fontId="44" fillId="0" borderId="0" xfId="154" applyNumberFormat="1"/>
    <xf numFmtId="0" fontId="44" fillId="0" borderId="0" xfId="154" applyAlignment="1">
      <alignment horizontal="center" vertical="center"/>
    </xf>
    <xf numFmtId="3" fontId="21" fillId="10" borderId="0" xfId="0" quotePrefix="1" applyNumberFormat="1" applyFont="1" applyFill="1" applyAlignment="1">
      <alignment horizontal="right"/>
    </xf>
    <xf numFmtId="3" fontId="21" fillId="2" borderId="0" xfId="0" applyNumberFormat="1" applyFont="1" applyFill="1"/>
    <xf numFmtId="0" fontId="50" fillId="0" borderId="0" xfId="0" applyFont="1" applyFill="1" applyAlignment="1">
      <alignment horizontal="left"/>
    </xf>
    <xf numFmtId="37" fontId="21"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1" fillId="0" borderId="0" xfId="8" applyNumberFormat="1" applyFont="1" applyFill="1" applyAlignment="1"/>
    <xf numFmtId="10" fontId="21" fillId="0" borderId="0" xfId="0" applyNumberFormat="1" applyFont="1" applyFill="1"/>
    <xf numFmtId="3" fontId="33" fillId="0" borderId="19" xfId="0" applyNumberFormat="1" applyFont="1" applyBorder="1" applyAlignment="1">
      <alignment horizontal="right"/>
    </xf>
    <xf numFmtId="3" fontId="21" fillId="0" borderId="0" xfId="0" applyNumberFormat="1" applyFont="1" applyBorder="1" applyAlignment="1">
      <alignment horizontal="right"/>
    </xf>
    <xf numFmtId="3" fontId="21" fillId="0" borderId="12" xfId="0" applyNumberFormat="1" applyFont="1" applyFill="1" applyBorder="1" applyAlignment="1">
      <alignment horizontal="right"/>
    </xf>
    <xf numFmtId="3" fontId="21" fillId="0" borderId="20" xfId="8" applyNumberFormat="1" applyFont="1" applyFill="1" applyBorder="1" applyAlignment="1">
      <alignment horizontal="right"/>
    </xf>
    <xf numFmtId="164" fontId="21" fillId="2" borderId="0" xfId="8" applyNumberFormat="1" applyFont="1" applyFill="1" applyBorder="1" applyAlignment="1">
      <alignment horizontal="right"/>
    </xf>
    <xf numFmtId="37" fontId="21" fillId="0" borderId="0" xfId="0" applyNumberFormat="1" applyFont="1" applyBorder="1" applyAlignment="1">
      <alignment horizontal="right"/>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84" fillId="0" borderId="0" xfId="0" applyFont="1" applyAlignment="1">
      <alignment horizontal="center"/>
    </xf>
    <xf numFmtId="0" fontId="44" fillId="0" borderId="0" xfId="0" applyFont="1" applyAlignment="1">
      <alignment horizontal="left" vertical="top" wrapText="1"/>
    </xf>
    <xf numFmtId="0" fontId="63" fillId="0" borderId="0" xfId="0" applyFont="1" applyAlignment="1">
      <alignment horizontal="left" vertical="center" indent="1"/>
    </xf>
    <xf numFmtId="0" fontId="44" fillId="0" borderId="0" xfId="0" applyFont="1" applyAlignment="1">
      <alignment horizontal="center" vertical="center" wrapText="1"/>
    </xf>
    <xf numFmtId="0" fontId="44" fillId="0" borderId="12" xfId="0" applyFont="1" applyBorder="1" applyAlignment="1">
      <alignment horizontal="center" wrapText="1"/>
    </xf>
    <xf numFmtId="0" fontId="8" fillId="0" borderId="0" xfId="0" applyFont="1" applyAlignment="1">
      <alignment horizontal="left" vertical="top" wrapText="1"/>
    </xf>
    <xf numFmtId="0" fontId="8" fillId="2" borderId="22" xfId="0" applyFont="1" applyFill="1" applyBorder="1" applyAlignment="1">
      <alignment vertical="top"/>
    </xf>
    <xf numFmtId="0" fontId="8" fillId="2" borderId="24" xfId="0" applyFont="1" applyFill="1" applyBorder="1" applyAlignment="1">
      <alignment vertical="top"/>
    </xf>
    <xf numFmtId="37" fontId="8" fillId="2" borderId="24" xfId="0" applyNumberFormat="1" applyFont="1" applyFill="1" applyBorder="1" applyAlignment="1">
      <alignment vertical="top"/>
    </xf>
    <xf numFmtId="41" fontId="8" fillId="2" borderId="23" xfId="0" applyNumberFormat="1" applyFont="1" applyFill="1" applyBorder="1" applyAlignment="1">
      <alignment vertical="top"/>
    </xf>
    <xf numFmtId="0" fontId="8" fillId="2" borderId="22" xfId="16" applyFill="1" applyBorder="1" applyAlignment="1">
      <alignment vertical="top"/>
    </xf>
    <xf numFmtId="0" fontId="8" fillId="2" borderId="24" xfId="16" applyFill="1" applyBorder="1" applyAlignment="1">
      <alignment vertical="top"/>
    </xf>
    <xf numFmtId="0" fontId="8" fillId="10" borderId="23" xfId="16" applyFill="1" applyBorder="1" applyAlignment="1">
      <alignment vertical="top"/>
    </xf>
    <xf numFmtId="0" fontId="8" fillId="10" borderId="24" xfId="16" applyFill="1" applyBorder="1" applyAlignment="1">
      <alignment vertical="top"/>
    </xf>
    <xf numFmtId="37" fontId="8" fillId="10" borderId="23" xfId="16" applyNumberFormat="1" applyFill="1" applyBorder="1" applyAlignment="1">
      <alignment vertical="top"/>
    </xf>
    <xf numFmtId="37" fontId="8" fillId="2" borderId="23" xfId="16" applyNumberFormat="1" applyFill="1" applyBorder="1" applyAlignment="1">
      <alignment vertical="top"/>
    </xf>
    <xf numFmtId="0" fontId="21" fillId="0" borderId="0" xfId="0" applyFont="1" applyAlignment="1">
      <alignment horizontal="center"/>
    </xf>
    <xf numFmtId="0" fontId="21" fillId="0" borderId="0" xfId="0" applyFont="1" applyAlignment="1">
      <alignment horizontal="center" vertical="top"/>
    </xf>
    <xf numFmtId="0" fontId="16" fillId="0" borderId="0" xfId="0" applyFont="1" applyAlignment="1">
      <alignment horizontal="center"/>
    </xf>
    <xf numFmtId="37" fontId="21" fillId="0" borderId="0" xfId="0" applyNumberFormat="1" applyFont="1" applyAlignment="1">
      <alignment horizontal="left"/>
    </xf>
    <xf numFmtId="168" fontId="21" fillId="0" borderId="0" xfId="21" applyFont="1" applyProtection="1">
      <protection locked="0"/>
    </xf>
    <xf numFmtId="0" fontId="51" fillId="0" borderId="0" xfId="0" applyFont="1" applyAlignment="1">
      <alignment horizontal="center"/>
    </xf>
    <xf numFmtId="0" fontId="7" fillId="0" borderId="0" xfId="0" applyFont="1" applyAlignment="1">
      <alignment horizontal="left"/>
    </xf>
    <xf numFmtId="0" fontId="28" fillId="0" borderId="0" xfId="0" applyFont="1" applyAlignment="1">
      <alignment horizontal="center"/>
    </xf>
    <xf numFmtId="0" fontId="31" fillId="6" borderId="0" xfId="0" applyFont="1" applyFill="1" applyAlignment="1">
      <alignment horizontal="center"/>
    </xf>
    <xf numFmtId="0" fontId="31" fillId="0" borderId="0" xfId="0" applyFont="1" applyAlignment="1">
      <alignment horizontal="center"/>
    </xf>
    <xf numFmtId="0" fontId="34" fillId="0" borderId="0" xfId="0" applyFont="1" applyAlignment="1">
      <alignment horizontal="center"/>
    </xf>
    <xf numFmtId="0" fontId="49" fillId="6" borderId="0" xfId="0" applyFont="1" applyFill="1" applyAlignment="1">
      <alignment horizontal="center"/>
    </xf>
    <xf numFmtId="3" fontId="33" fillId="0" borderId="12" xfId="0" applyNumberFormat="1" applyFont="1" applyBorder="1" applyAlignment="1">
      <alignment horizontal="center"/>
    </xf>
    <xf numFmtId="0" fontId="34" fillId="0" borderId="12" xfId="0" applyFont="1" applyBorder="1" applyAlignment="1">
      <alignment horizontal="center"/>
    </xf>
    <xf numFmtId="3" fontId="51" fillId="0" borderId="0" xfId="0" applyNumberFormat="1" applyFont="1" applyAlignment="1">
      <alignment horizontal="center"/>
    </xf>
    <xf numFmtId="37" fontId="0" fillId="10" borderId="0" xfId="0" applyNumberFormat="1" applyFill="1" applyAlignment="1">
      <alignment horizontal="right" wrapText="1"/>
    </xf>
    <xf numFmtId="37" fontId="0" fillId="10" borderId="12" xfId="0" applyNumberFormat="1" applyFill="1" applyBorder="1" applyAlignment="1">
      <alignment horizontal="right" wrapText="1"/>
    </xf>
    <xf numFmtId="37" fontId="0" fillId="0" borderId="0" xfId="0" applyNumberFormat="1"/>
    <xf numFmtId="1" fontId="8" fillId="0" borderId="0" xfId="29" applyNumberFormat="1" applyFont="1" applyFill="1" applyAlignment="1">
      <alignment horizontal="left"/>
    </xf>
    <xf numFmtId="168" fontId="8" fillId="0" borderId="0" xfId="29" applyFont="1" applyFill="1" applyAlignment="1"/>
    <xf numFmtId="168" fontId="8" fillId="0" borderId="0" xfId="29" applyFont="1" applyFill="1" applyAlignment="1">
      <alignment horizontal="left"/>
    </xf>
    <xf numFmtId="173" fontId="8" fillId="0" borderId="0" xfId="8" applyNumberFormat="1" applyFont="1" applyFill="1" applyAlignment="1"/>
    <xf numFmtId="0" fontId="8" fillId="10" borderId="23" xfId="156" applyFill="1" applyBorder="1" applyAlignment="1">
      <alignment vertical="top" wrapText="1"/>
    </xf>
    <xf numFmtId="3" fontId="8" fillId="0" borderId="0" xfId="0" applyNumberFormat="1" applyFont="1" applyAlignment="1">
      <alignment horizontal="center"/>
    </xf>
    <xf numFmtId="3" fontId="8" fillId="0" borderId="1" xfId="0" applyNumberFormat="1" applyFont="1" applyBorder="1" applyAlignment="1">
      <alignment horizontal="center"/>
    </xf>
    <xf numFmtId="0" fontId="51" fillId="0" borderId="0" xfId="35" applyFont="1"/>
    <xf numFmtId="0" fontId="11" fillId="0" borderId="0" xfId="7" applyFont="1"/>
    <xf numFmtId="0" fontId="9" fillId="0" borderId="0" xfId="7" applyFont="1"/>
    <xf numFmtId="0" fontId="9" fillId="0" borderId="0" xfId="35" applyFont="1" applyAlignment="1">
      <alignment horizontal="left"/>
    </xf>
    <xf numFmtId="180" fontId="8" fillId="8" borderId="0" xfId="35" applyNumberFormat="1" applyFill="1"/>
    <xf numFmtId="49" fontId="8" fillId="0" borderId="0" xfId="7" applyNumberFormat="1" applyAlignment="1">
      <alignment horizontal="left"/>
    </xf>
    <xf numFmtId="41" fontId="8" fillId="0" borderId="0" xfId="7" applyNumberFormat="1"/>
    <xf numFmtId="41" fontId="8" fillId="0" borderId="0" xfId="7" applyNumberFormat="1" applyAlignment="1">
      <alignment horizontal="center"/>
    </xf>
    <xf numFmtId="42" fontId="8" fillId="0" borderId="0" xfId="35" applyNumberFormat="1"/>
    <xf numFmtId="41" fontId="4" fillId="0" borderId="0" xfId="7" applyNumberFormat="1" applyFont="1"/>
    <xf numFmtId="42" fontId="8" fillId="0" borderId="0" xfId="7" applyNumberFormat="1"/>
    <xf numFmtId="180" fontId="8" fillId="0" borderId="0" xfId="35" applyNumberFormat="1"/>
    <xf numFmtId="164" fontId="8" fillId="0" borderId="0" xfId="50" applyNumberFormat="1" applyFont="1" applyBorder="1"/>
    <xf numFmtId="0" fontId="44" fillId="10" borderId="25" xfId="16" applyFont="1" applyFill="1" applyBorder="1"/>
    <xf numFmtId="164" fontId="8" fillId="0" borderId="0" xfId="50" applyNumberFormat="1" applyFont="1"/>
    <xf numFmtId="164" fontId="8" fillId="0" borderId="0" xfId="4" applyNumberFormat="1"/>
    <xf numFmtId="164" fontId="0" fillId="0" borderId="0" xfId="0" applyNumberFormat="1" applyAlignment="1">
      <alignment horizontal="center"/>
    </xf>
    <xf numFmtId="0" fontId="8" fillId="10" borderId="23" xfId="16" applyFill="1" applyBorder="1" applyAlignment="1">
      <alignment vertical="top" wrapText="1"/>
    </xf>
    <xf numFmtId="0" fontId="21" fillId="0" borderId="0" xfId="0" applyFont="1" applyAlignment="1">
      <alignment horizontal="center"/>
    </xf>
    <xf numFmtId="0" fontId="8" fillId="10" borderId="23" xfId="0" applyFont="1" applyFill="1" applyBorder="1" applyAlignment="1">
      <alignment vertical="top" wrapText="1"/>
    </xf>
    <xf numFmtId="0" fontId="33" fillId="0" borderId="0" xfId="0" applyFont="1" applyAlignment="1">
      <alignment horizontal="left"/>
    </xf>
    <xf numFmtId="164" fontId="21" fillId="2" borderId="0" xfId="50" applyNumberFormat="1" applyFont="1" applyFill="1"/>
    <xf numFmtId="166" fontId="21" fillId="2" borderId="21" xfId="10" applyNumberFormat="1" applyFont="1" applyFill="1" applyBorder="1"/>
    <xf numFmtId="166" fontId="21" fillId="2" borderId="0" xfId="0" applyNumberFormat="1" applyFont="1" applyFill="1"/>
    <xf numFmtId="164" fontId="21" fillId="2" borderId="0" xfId="50" applyNumberFormat="1" applyFont="1" applyFill="1" applyAlignment="1"/>
    <xf numFmtId="0" fontId="1" fillId="0" borderId="0" xfId="0" applyFont="1" applyAlignment="1">
      <alignment horizontal="center"/>
    </xf>
    <xf numFmtId="0" fontId="21" fillId="0" borderId="0" xfId="0" applyFont="1" applyAlignment="1">
      <alignment horizontal="center"/>
    </xf>
    <xf numFmtId="0" fontId="18" fillId="3" borderId="2" xfId="0" applyFont="1" applyFill="1" applyBorder="1" applyAlignment="1">
      <alignment horizontal="center"/>
    </xf>
    <xf numFmtId="0" fontId="18" fillId="3" borderId="4" xfId="0" applyFont="1" applyFill="1" applyBorder="1" applyAlignment="1">
      <alignment horizontal="center"/>
    </xf>
    <xf numFmtId="164" fontId="8" fillId="0" borderId="0" xfId="1" applyNumberFormat="1" applyFont="1" applyFill="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0" fontId="18" fillId="4" borderId="14" xfId="0" applyFont="1" applyFill="1" applyBorder="1" applyAlignment="1">
      <alignment horizontal="left"/>
    </xf>
    <xf numFmtId="164" fontId="8" fillId="0" borderId="1" xfId="1" applyNumberFormat="1" applyFont="1" applyFill="1" applyBorder="1" applyAlignment="1">
      <alignment horizontal="center"/>
    </xf>
    <xf numFmtId="0" fontId="2" fillId="3" borderId="4" xfId="0" applyFont="1" applyFill="1" applyBorder="1" applyAlignment="1">
      <alignment wrapText="1"/>
    </xf>
    <xf numFmtId="0" fontId="16" fillId="0" borderId="0" xfId="0" applyFont="1" applyBorder="1" applyAlignment="1">
      <alignment horizontal="center"/>
    </xf>
    <xf numFmtId="0" fontId="8" fillId="0" borderId="0" xfId="0" applyFont="1" applyAlignment="1">
      <alignment horizontal="right"/>
    </xf>
    <xf numFmtId="0" fontId="112" fillId="0" borderId="0" xfId="0" applyFont="1" applyAlignment="1">
      <alignment horizontal="center"/>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1" fillId="0" borderId="5" xfId="0" applyFont="1" applyBorder="1" applyAlignment="1">
      <alignment horizontal="center"/>
    </xf>
    <xf numFmtId="0" fontId="7" fillId="0" borderId="0" xfId="0" applyNumberFormat="1" applyFont="1" applyFill="1" applyBorder="1" applyAlignment="1"/>
    <xf numFmtId="0" fontId="21" fillId="0" borderId="0" xfId="0" applyFont="1" applyBorder="1" applyAlignment="1">
      <alignment horizontal="center"/>
    </xf>
    <xf numFmtId="0" fontId="21" fillId="0" borderId="6" xfId="0" applyFont="1" applyBorder="1"/>
    <xf numFmtId="0" fontId="21" fillId="0" borderId="5" xfId="0" applyNumberFormat="1" applyFont="1" applyFill="1" applyBorder="1" applyAlignment="1">
      <alignment horizontal="center"/>
    </xf>
    <xf numFmtId="0" fontId="33" fillId="0" borderId="0" xfId="0" applyNumberFormat="1" applyFont="1" applyFill="1" applyBorder="1" applyAlignment="1">
      <alignment horizontal="center"/>
    </xf>
    <xf numFmtId="3" fontId="21" fillId="0" borderId="6" xfId="0" applyNumberFormat="1" applyFont="1" applyFill="1" applyBorder="1" applyAlignment="1"/>
    <xf numFmtId="166" fontId="62" fillId="0" borderId="0" xfId="6" applyNumberFormat="1" applyFont="1" applyFill="1"/>
    <xf numFmtId="3" fontId="8" fillId="0" borderId="5" xfId="0" applyNumberFormat="1" applyFont="1" applyBorder="1" applyAlignment="1">
      <alignment horizontal="center"/>
    </xf>
    <xf numFmtId="3" fontId="33" fillId="0" borderId="0" xfId="0" applyNumberFormat="1" applyFont="1" applyFill="1" applyBorder="1" applyAlignment="1">
      <alignment horizontal="center"/>
    </xf>
    <xf numFmtId="0" fontId="8" fillId="0" borderId="0" xfId="0" applyFont="1" applyBorder="1" applyAlignment="1">
      <alignment horizontal="left" wrapText="1"/>
    </xf>
    <xf numFmtId="0" fontId="8" fillId="0" borderId="0" xfId="0" applyFont="1" applyBorder="1" applyAlignment="1">
      <alignment wrapText="1"/>
    </xf>
    <xf numFmtId="0" fontId="8" fillId="0" borderId="6" xfId="0" applyFont="1" applyBorder="1" applyAlignment="1">
      <alignment wrapText="1"/>
    </xf>
    <xf numFmtId="0" fontId="21" fillId="0" borderId="5" xfId="0" applyFont="1" applyFill="1" applyBorder="1" applyAlignment="1">
      <alignment horizontal="center"/>
    </xf>
    <xf numFmtId="0" fontId="7" fillId="0" borderId="0" xfId="0" applyNumberFormat="1" applyFont="1" applyFill="1" applyBorder="1" applyAlignment="1">
      <alignment horizontal="left"/>
    </xf>
    <xf numFmtId="0" fontId="33" fillId="0" borderId="0" xfId="0" applyFont="1" applyFill="1" applyBorder="1" applyAlignment="1">
      <alignment horizontal="right"/>
    </xf>
    <xf numFmtId="0" fontId="21" fillId="0" borderId="6" xfId="0" applyFont="1" applyBorder="1" applyAlignment="1"/>
    <xf numFmtId="0" fontId="33" fillId="0" borderId="0" xfId="0" applyFont="1" applyFill="1" applyBorder="1"/>
    <xf numFmtId="0" fontId="33" fillId="0" borderId="0" xfId="0" applyFont="1" applyFill="1" applyBorder="1" applyAlignment="1">
      <alignment horizontal="center"/>
    </xf>
    <xf numFmtId="3" fontId="33" fillId="0" borderId="6" xfId="0" applyNumberFormat="1" applyFont="1" applyFill="1" applyBorder="1" applyAlignment="1"/>
    <xf numFmtId="0" fontId="21" fillId="0" borderId="6" xfId="0" applyFont="1" applyFill="1" applyBorder="1" applyAlignment="1"/>
    <xf numFmtId="166" fontId="62" fillId="0" borderId="0" xfId="6" applyNumberFormat="1" applyFont="1"/>
    <xf numFmtId="0" fontId="8" fillId="0" borderId="5" xfId="0" applyFont="1" applyFill="1" applyBorder="1"/>
    <xf numFmtId="0" fontId="21" fillId="0" borderId="7" xfId="0" applyNumberFormat="1" applyFont="1" applyFill="1" applyBorder="1" applyAlignment="1">
      <alignment horizontal="center"/>
    </xf>
    <xf numFmtId="0" fontId="21" fillId="0" borderId="1" xfId="0" applyNumberFormat="1" applyFont="1" applyFill="1" applyBorder="1" applyAlignment="1">
      <alignment horizontal="center"/>
    </xf>
    <xf numFmtId="0" fontId="21" fillId="0" borderId="1" xfId="0" applyNumberFormat="1" applyFont="1" applyFill="1" applyBorder="1" applyAlignment="1">
      <alignment horizontal="left"/>
    </xf>
    <xf numFmtId="0" fontId="21" fillId="0" borderId="1" xfId="0" applyFont="1" applyFill="1" applyBorder="1" applyAlignment="1"/>
    <xf numFmtId="0" fontId="33" fillId="0" borderId="1" xfId="0" applyNumberFormat="1" applyFont="1" applyFill="1" applyBorder="1" applyAlignment="1">
      <alignment horizontal="center"/>
    </xf>
    <xf numFmtId="3" fontId="21" fillId="0" borderId="8" xfId="0" applyNumberFormat="1" applyFont="1" applyFill="1" applyBorder="1" applyAlignment="1"/>
    <xf numFmtId="3" fontId="8" fillId="0" borderId="7" xfId="0" applyNumberFormat="1" applyFont="1" applyBorder="1" applyAlignment="1">
      <alignment horizontal="center"/>
    </xf>
    <xf numFmtId="0" fontId="33" fillId="0" borderId="0" xfId="0" applyFont="1" applyFill="1" applyBorder="1" applyAlignment="1"/>
    <xf numFmtId="3" fontId="21" fillId="0" borderId="6" xfId="0" applyNumberFormat="1" applyFont="1" applyFill="1" applyBorder="1" applyAlignment="1">
      <alignment horizontal="left"/>
    </xf>
    <xf numFmtId="3" fontId="21" fillId="0" borderId="0" xfId="0" applyNumberFormat="1" applyFont="1" applyBorder="1" applyAlignment="1">
      <alignment horizontal="center"/>
    </xf>
    <xf numFmtId="0" fontId="8" fillId="0" borderId="0" xfId="0" applyFont="1" applyFill="1" applyBorder="1"/>
    <xf numFmtId="0" fontId="21" fillId="0" borderId="0" xfId="0" applyNumberFormat="1" applyFont="1" applyFill="1" applyBorder="1" applyAlignment="1">
      <alignment horizontal="right"/>
    </xf>
    <xf numFmtId="0" fontId="21" fillId="0" borderId="6" xfId="0" applyNumberFormat="1" applyFont="1" applyFill="1" applyBorder="1" applyAlignment="1">
      <alignment horizontal="left"/>
    </xf>
    <xf numFmtId="0" fontId="9" fillId="0" borderId="0" xfId="0" applyFont="1" applyBorder="1" applyAlignment="1">
      <alignment horizontal="center"/>
    </xf>
    <xf numFmtId="0" fontId="9" fillId="0" borderId="0" xfId="0" applyFont="1" applyFill="1" applyBorder="1" applyAlignment="1">
      <alignment horizontal="center"/>
    </xf>
    <xf numFmtId="0" fontId="62" fillId="0" borderId="7" xfId="0" applyFont="1" applyBorder="1"/>
    <xf numFmtId="0" fontId="62" fillId="0" borderId="1" xfId="0" applyFont="1" applyBorder="1"/>
    <xf numFmtId="0" fontId="62" fillId="0" borderId="1" xfId="0" applyFont="1" applyFill="1" applyBorder="1"/>
    <xf numFmtId="0" fontId="62" fillId="0" borderId="8" xfId="0" applyFont="1" applyBorder="1"/>
    <xf numFmtId="0" fontId="8" fillId="0" borderId="8" xfId="0" applyFont="1" applyBorder="1"/>
    <xf numFmtId="0" fontId="8" fillId="0" borderId="0" xfId="0" applyFont="1" applyFill="1" applyBorder="1" applyAlignment="1">
      <alignment horizontal="right"/>
    </xf>
    <xf numFmtId="0" fontId="33" fillId="0" borderId="0" xfId="0" applyFont="1" applyBorder="1" applyAlignment="1">
      <alignment horizontal="center"/>
    </xf>
    <xf numFmtId="3" fontId="21" fillId="0" borderId="6" xfId="0" applyNumberFormat="1" applyFont="1" applyBorder="1" applyAlignment="1">
      <alignment horizontal="left"/>
    </xf>
    <xf numFmtId="3" fontId="33" fillId="0" borderId="0" xfId="0" applyNumberFormat="1" applyFont="1" applyBorder="1" applyAlignment="1">
      <alignment horizontal="center"/>
    </xf>
    <xf numFmtId="0" fontId="21" fillId="0" borderId="1" xfId="0" applyNumberFormat="1" applyFont="1" applyBorder="1" applyAlignment="1">
      <alignment horizontal="center"/>
    </xf>
    <xf numFmtId="0" fontId="21" fillId="0" borderId="1" xfId="0" applyFont="1" applyBorder="1" applyAlignment="1"/>
    <xf numFmtId="3" fontId="21" fillId="0" borderId="8" xfId="0" applyNumberFormat="1" applyFont="1" applyFill="1" applyBorder="1" applyAlignment="1">
      <alignment horizontal="left"/>
    </xf>
    <xf numFmtId="0" fontId="8" fillId="0" borderId="1" xfId="0" applyFont="1" applyBorder="1" applyAlignment="1">
      <alignment horizontal="center"/>
    </xf>
    <xf numFmtId="0" fontId="87" fillId="0" borderId="0" xfId="0" applyFont="1"/>
    <xf numFmtId="3" fontId="21" fillId="0" borderId="0" xfId="0" applyNumberFormat="1" applyFont="1" applyFill="1" applyBorder="1" applyAlignment="1">
      <alignment horizontal="center"/>
    </xf>
    <xf numFmtId="0" fontId="21" fillId="0" borderId="1" xfId="0" applyFont="1" applyBorder="1"/>
    <xf numFmtId="0" fontId="8" fillId="0" borderId="0" xfId="0" applyFont="1" applyFill="1" applyBorder="1" applyAlignment="1">
      <alignment horizontal="left"/>
    </xf>
    <xf numFmtId="0" fontId="8" fillId="0" borderId="0" xfId="0" applyFont="1" applyFill="1" applyBorder="1" applyAlignment="1">
      <alignment horizontal="centerContinuous"/>
    </xf>
    <xf numFmtId="0" fontId="8" fillId="0" borderId="6" xfId="0" applyFont="1" applyFill="1" applyBorder="1" applyAlignment="1">
      <alignment horizontal="centerContinuous"/>
    </xf>
    <xf numFmtId="0" fontId="21" fillId="0" borderId="6" xfId="0" applyFont="1" applyBorder="1" applyAlignment="1">
      <alignment horizontal="left"/>
    </xf>
    <xf numFmtId="0" fontId="9" fillId="0" borderId="0" xfId="0" applyFont="1" applyAlignment="1">
      <alignment horizontal="center"/>
    </xf>
    <xf numFmtId="0" fontId="21" fillId="0" borderId="1" xfId="0" applyNumberFormat="1" applyFont="1" applyFill="1" applyBorder="1" applyAlignment="1">
      <alignment horizontal="right"/>
    </xf>
    <xf numFmtId="0" fontId="33" fillId="0" borderId="1" xfId="0" applyFont="1" applyFill="1" applyBorder="1" applyAlignment="1">
      <alignment horizontal="center"/>
    </xf>
    <xf numFmtId="0" fontId="21" fillId="0" borderId="8" xfId="0" applyNumberFormat="1" applyFont="1" applyFill="1" applyBorder="1" applyAlignment="1">
      <alignment horizontal="left"/>
    </xf>
    <xf numFmtId="0" fontId="21" fillId="0" borderId="7" xfId="0" applyNumberFormat="1" applyFont="1" applyBorder="1" applyAlignment="1">
      <alignment horizontal="center"/>
    </xf>
    <xf numFmtId="0" fontId="21" fillId="0" borderId="1" xfId="0" applyNumberFormat="1" applyFont="1" applyBorder="1" applyAlignment="1">
      <alignment horizontal="left"/>
    </xf>
    <xf numFmtId="0" fontId="33" fillId="0" borderId="1" xfId="0" applyNumberFormat="1" applyFont="1" applyBorder="1" applyAlignment="1">
      <alignment horizontal="center"/>
    </xf>
    <xf numFmtId="0" fontId="21" fillId="0" borderId="8" xfId="0" applyNumberFormat="1" applyFont="1" applyBorder="1" applyAlignment="1">
      <alignment horizontal="left"/>
    </xf>
    <xf numFmtId="0" fontId="9" fillId="0" borderId="0" xfId="0" applyFont="1" applyFill="1" applyBorder="1" applyAlignment="1">
      <alignment horizontal="center" wrapText="1"/>
    </xf>
    <xf numFmtId="0" fontId="8" fillId="0" borderId="0" xfId="0" applyFont="1" applyFill="1" applyBorder="1" applyAlignment="1">
      <alignment horizontal="center" wrapText="1"/>
    </xf>
    <xf numFmtId="0" fontId="21" fillId="0" borderId="5" xfId="0" applyNumberFormat="1" applyFont="1" applyBorder="1" applyAlignment="1">
      <alignment horizontal="center"/>
    </xf>
    <xf numFmtId="167" fontId="7" fillId="0" borderId="0" xfId="0" applyNumberFormat="1" applyFont="1" applyBorder="1" applyAlignment="1">
      <alignment horizontal="left"/>
    </xf>
    <xf numFmtId="3" fontId="21" fillId="0" borderId="6" xfId="0" applyNumberFormat="1" applyFont="1" applyBorder="1" applyAlignment="1"/>
    <xf numFmtId="168" fontId="21" fillId="0" borderId="1" xfId="0" applyNumberFormat="1" applyFont="1" applyBorder="1" applyAlignment="1"/>
    <xf numFmtId="10" fontId="21" fillId="0" borderId="8" xfId="2" applyNumberFormat="1" applyFont="1" applyBorder="1" applyAlignment="1">
      <alignment horizontal="left"/>
    </xf>
    <xf numFmtId="10" fontId="8" fillId="0" borderId="1" xfId="2" applyNumberFormat="1" applyFont="1" applyFill="1" applyBorder="1" applyAlignment="1">
      <alignment horizontal="center"/>
    </xf>
    <xf numFmtId="0" fontId="33" fillId="0" borderId="1" xfId="0" applyFont="1" applyFill="1" applyBorder="1" applyAlignment="1"/>
    <xf numFmtId="0" fontId="1" fillId="0" borderId="5" xfId="0" applyNumberFormat="1" applyFont="1" applyBorder="1" applyAlignment="1">
      <alignment horizontal="center"/>
    </xf>
    <xf numFmtId="0" fontId="9" fillId="0" borderId="0" xfId="0" applyNumberFormat="1" applyFont="1" applyBorder="1" applyAlignment="1">
      <alignment horizontal="left"/>
    </xf>
    <xf numFmtId="0" fontId="1" fillId="0" borderId="0" xfId="0" applyNumberFormat="1" applyFont="1" applyFill="1" applyBorder="1" applyAlignment="1"/>
    <xf numFmtId="0" fontId="1" fillId="0" borderId="0" xfId="0" applyFont="1" applyFill="1" applyBorder="1" applyAlignment="1"/>
    <xf numFmtId="3" fontId="1" fillId="0" borderId="0" xfId="0" applyNumberFormat="1" applyFont="1" applyBorder="1" applyAlignment="1">
      <alignment horizontal="center"/>
    </xf>
    <xf numFmtId="0" fontId="9" fillId="0" borderId="5" xfId="0" applyFont="1" applyBorder="1"/>
    <xf numFmtId="0" fontId="9" fillId="0" borderId="5" xfId="0" applyFont="1" applyBorder="1" applyAlignment="1">
      <alignment horizontal="center"/>
    </xf>
    <xf numFmtId="0" fontId="9" fillId="2" borderId="5" xfId="0" applyFont="1" applyFill="1" applyBorder="1" applyAlignment="1">
      <alignment horizontal="center"/>
    </xf>
    <xf numFmtId="0" fontId="8" fillId="0" borderId="6" xfId="0" applyFont="1" applyFill="1" applyBorder="1" applyAlignment="1">
      <alignment horizontal="center" wrapText="1"/>
    </xf>
    <xf numFmtId="0" fontId="1" fillId="0" borderId="0" xfId="0" applyFont="1" applyFill="1" applyBorder="1" applyAlignment="1">
      <alignment horizontal="center"/>
    </xf>
    <xf numFmtId="0" fontId="62" fillId="0" borderId="5" xfId="0" applyFont="1" applyFill="1" applyBorder="1"/>
    <xf numFmtId="0" fontId="62" fillId="0" borderId="0" xfId="0" applyFont="1" applyFill="1" applyBorder="1" applyAlignment="1">
      <alignment horizontal="right"/>
    </xf>
    <xf numFmtId="164" fontId="62" fillId="0" borderId="0" xfId="1" applyNumberFormat="1" applyFont="1" applyFill="1" applyBorder="1"/>
    <xf numFmtId="0" fontId="62" fillId="0" borderId="0" xfId="0" applyFont="1" applyFill="1" applyBorder="1"/>
    <xf numFmtId="0" fontId="8" fillId="0" borderId="7" xfId="0" applyFont="1" applyBorder="1"/>
    <xf numFmtId="0" fontId="2" fillId="0" borderId="1" xfId="0" applyFont="1" applyBorder="1"/>
    <xf numFmtId="0" fontId="62" fillId="0" borderId="0" xfId="0" applyFont="1" applyBorder="1"/>
    <xf numFmtId="0" fontId="2" fillId="0" borderId="0" xfId="0" applyFont="1" applyBorder="1"/>
    <xf numFmtId="0" fontId="62" fillId="0" borderId="0" xfId="0" applyFont="1" applyFill="1"/>
    <xf numFmtId="0" fontId="2" fillId="0" borderId="2" xfId="0" applyFont="1" applyFill="1" applyBorder="1" applyAlignment="1">
      <alignment horizontal="center" wrapText="1"/>
    </xf>
    <xf numFmtId="0" fontId="2" fillId="0" borderId="4" xfId="0" applyFont="1" applyFill="1" applyBorder="1" applyAlignment="1">
      <alignment wrapText="1"/>
    </xf>
    <xf numFmtId="0" fontId="4" fillId="0" borderId="4" xfId="0" applyFont="1" applyFill="1" applyBorder="1" applyAlignment="1">
      <alignment wrapText="1"/>
    </xf>
    <xf numFmtId="0" fontId="62" fillId="0" borderId="4" xfId="0" applyFont="1" applyFill="1" applyBorder="1"/>
    <xf numFmtId="0" fontId="62" fillId="0" borderId="3" xfId="0" applyFont="1" applyFill="1" applyBorder="1"/>
    <xf numFmtId="0" fontId="2" fillId="0" borderId="2" xfId="0" applyFont="1" applyFill="1" applyBorder="1"/>
    <xf numFmtId="0" fontId="7" fillId="0" borderId="5" xfId="0" applyFont="1" applyFill="1" applyBorder="1"/>
    <xf numFmtId="0" fontId="7" fillId="0" borderId="0" xfId="0" applyFont="1" applyFill="1" applyAlignment="1">
      <alignment horizontal="left"/>
    </xf>
    <xf numFmtId="3" fontId="33" fillId="0" borderId="0" xfId="0" applyNumberFormat="1" applyFont="1" applyFill="1" applyAlignment="1">
      <alignment horizontal="center"/>
    </xf>
    <xf numFmtId="3" fontId="7" fillId="0" borderId="6" xfId="0" applyNumberFormat="1" applyFont="1" applyFill="1" applyBorder="1" applyAlignment="1">
      <alignment horizontal="center"/>
    </xf>
    <xf numFmtId="0" fontId="62" fillId="0" borderId="6" xfId="0" applyFont="1" applyFill="1" applyBorder="1"/>
    <xf numFmtId="0" fontId="21" fillId="0" borderId="6" xfId="0" applyFont="1" applyFill="1" applyBorder="1" applyAlignment="1">
      <alignment horizontal="left"/>
    </xf>
    <xf numFmtId="0" fontId="9" fillId="0" borderId="5" xfId="28" quotePrefix="1" applyFont="1" applyFill="1" applyBorder="1" applyAlignment="1">
      <alignment horizontal="left" wrapText="1"/>
    </xf>
    <xf numFmtId="0" fontId="9" fillId="0" borderId="0" xfId="28" applyFont="1" applyFill="1"/>
    <xf numFmtId="0" fontId="9" fillId="0" borderId="0" xfId="28" applyFont="1" applyFill="1" applyAlignment="1">
      <alignment wrapText="1"/>
    </xf>
    <xf numFmtId="164" fontId="21" fillId="0" borderId="0" xfId="1" applyNumberFormat="1" applyFont="1" applyFill="1"/>
    <xf numFmtId="164" fontId="21" fillId="0" borderId="6" xfId="1" applyNumberFormat="1" applyFont="1" applyFill="1" applyBorder="1" applyAlignment="1">
      <alignment horizontal="left"/>
    </xf>
    <xf numFmtId="9" fontId="9" fillId="10" borderId="5" xfId="0" applyNumberFormat="1" applyFont="1" applyFill="1" applyBorder="1"/>
    <xf numFmtId="164" fontId="9" fillId="10" borderId="0" xfId="1" applyNumberFormat="1" applyFont="1" applyFill="1" applyAlignment="1">
      <alignment horizontal="center" wrapText="1"/>
    </xf>
    <xf numFmtId="0" fontId="8" fillId="10" borderId="0" xfId="0" applyFont="1" applyFill="1" applyAlignment="1">
      <alignment horizontal="center" wrapText="1"/>
    </xf>
    <xf numFmtId="0" fontId="62" fillId="10" borderId="0" xfId="0" applyFont="1" applyFill="1"/>
    <xf numFmtId="166" fontId="29" fillId="0" borderId="0" xfId="0" applyNumberFormat="1" applyFont="1" applyFill="1"/>
    <xf numFmtId="169" fontId="21" fillId="0" borderId="6" xfId="0" applyNumberFormat="1" applyFont="1" applyFill="1" applyBorder="1" applyAlignment="1">
      <alignment horizontal="left"/>
    </xf>
    <xf numFmtId="164" fontId="62" fillId="10" borderId="5" xfId="50" applyNumberFormat="1" applyFont="1" applyFill="1" applyBorder="1" applyAlignment="1">
      <alignment horizontal="center"/>
    </xf>
    <xf numFmtId="164" fontId="62" fillId="10" borderId="0" xfId="50" applyNumberFormat="1" applyFont="1" applyFill="1"/>
    <xf numFmtId="167" fontId="21" fillId="0" borderId="0" xfId="2" applyNumberFormat="1" applyFont="1" applyFill="1"/>
    <xf numFmtId="9" fontId="8" fillId="0" borderId="5" xfId="2" applyFont="1" applyFill="1" applyBorder="1" applyAlignment="1">
      <alignment horizontal="left"/>
    </xf>
    <xf numFmtId="9" fontId="8" fillId="0" borderId="5" xfId="2" applyFont="1" applyBorder="1" applyAlignment="1">
      <alignment horizontal="left"/>
    </xf>
    <xf numFmtId="9" fontId="8" fillId="0" borderId="0" xfId="2" applyFont="1" applyBorder="1" applyAlignment="1">
      <alignment horizontal="left"/>
    </xf>
    <xf numFmtId="164" fontId="62" fillId="10" borderId="35" xfId="50" applyNumberFormat="1" applyFont="1" applyFill="1" applyBorder="1" applyAlignment="1">
      <alignment horizontal="center"/>
    </xf>
    <xf numFmtId="164" fontId="62" fillId="10" borderId="12" xfId="50" applyNumberFormat="1" applyFont="1" applyFill="1" applyBorder="1"/>
    <xf numFmtId="164" fontId="62" fillId="0" borderId="5" xfId="50" applyNumberFormat="1" applyFont="1" applyFill="1" applyBorder="1" applyAlignment="1">
      <alignment horizontal="center"/>
    </xf>
    <xf numFmtId="164" fontId="62" fillId="0" borderId="0" xfId="50" applyNumberFormat="1" applyFont="1" applyFill="1" applyAlignment="1">
      <alignment horizontal="center"/>
    </xf>
    <xf numFmtId="164" fontId="62" fillId="10" borderId="0" xfId="50" applyNumberFormat="1" applyFont="1" applyFill="1" applyAlignment="1">
      <alignment horizontal="center"/>
    </xf>
    <xf numFmtId="0" fontId="21" fillId="0" borderId="7" xfId="0" applyFont="1" applyFill="1" applyBorder="1" applyAlignment="1">
      <alignment horizontal="center"/>
    </xf>
    <xf numFmtId="0" fontId="21" fillId="0" borderId="1" xfId="0" applyFont="1" applyFill="1" applyBorder="1" applyAlignment="1">
      <alignment horizontal="center"/>
    </xf>
    <xf numFmtId="164" fontId="62" fillId="0" borderId="7" xfId="50" applyNumberFormat="1" applyFont="1" applyFill="1" applyBorder="1" applyAlignment="1">
      <alignment horizontal="center"/>
    </xf>
    <xf numFmtId="164" fontId="62" fillId="0" borderId="1" xfId="50" applyNumberFormat="1" applyFont="1" applyFill="1" applyBorder="1" applyAlignment="1">
      <alignment horizontal="center"/>
    </xf>
    <xf numFmtId="0" fontId="62" fillId="0" borderId="8" xfId="0" applyFont="1" applyFill="1" applyBorder="1"/>
    <xf numFmtId="9" fontId="8" fillId="0" borderId="7" xfId="2" applyFont="1" applyFill="1" applyBorder="1" applyAlignment="1">
      <alignment horizontal="left"/>
    </xf>
    <xf numFmtId="0" fontId="8" fillId="0" borderId="4" xfId="0" applyFont="1" applyFill="1" applyBorder="1"/>
    <xf numFmtId="0" fontId="8" fillId="0" borderId="3" xfId="0" applyFont="1" applyFill="1" applyBorder="1"/>
    <xf numFmtId="0" fontId="9" fillId="0" borderId="35" xfId="28" quotePrefix="1" applyFont="1" applyFill="1" applyBorder="1" applyAlignment="1">
      <alignment horizontal="left" wrapText="1"/>
    </xf>
    <xf numFmtId="0" fontId="9" fillId="0" borderId="12" xfId="28" applyFont="1" applyFill="1" applyBorder="1"/>
    <xf numFmtId="0" fontId="9" fillId="0" borderId="12" xfId="28" applyFont="1" applyFill="1" applyBorder="1" applyAlignment="1">
      <alignment wrapText="1"/>
    </xf>
    <xf numFmtId="0" fontId="9" fillId="0" borderId="12" xfId="28" applyFont="1" applyFill="1" applyBorder="1" applyAlignment="1">
      <alignment horizontal="center" wrapText="1"/>
    </xf>
    <xf numFmtId="3" fontId="8" fillId="0" borderId="35" xfId="35" applyNumberFormat="1" applyFont="1" applyFill="1" applyBorder="1" applyAlignment="1">
      <alignment horizontal="center" wrapText="1"/>
    </xf>
    <xf numFmtId="0" fontId="8" fillId="0" borderId="12" xfId="35" applyFont="1" applyFill="1" applyBorder="1" applyAlignment="1">
      <alignment horizontal="center" wrapText="1"/>
    </xf>
    <xf numFmtId="3" fontId="8" fillId="0" borderId="12" xfId="35" applyNumberFormat="1" applyFont="1" applyFill="1" applyBorder="1" applyAlignment="1">
      <alignment horizontal="center" wrapText="1"/>
    </xf>
    <xf numFmtId="0" fontId="62" fillId="0" borderId="12" xfId="0" applyFont="1" applyFill="1" applyBorder="1" applyAlignment="1">
      <alignment wrapText="1"/>
    </xf>
    <xf numFmtId="0" fontId="62" fillId="0" borderId="12" xfId="0" applyFont="1" applyFill="1" applyBorder="1"/>
    <xf numFmtId="0" fontId="8" fillId="0" borderId="12" xfId="0" applyFont="1" applyFill="1" applyBorder="1"/>
    <xf numFmtId="0" fontId="8" fillId="0" borderId="13" xfId="0" applyFont="1" applyFill="1" applyBorder="1"/>
    <xf numFmtId="168" fontId="8" fillId="0" borderId="0" xfId="27" applyFont="1" applyFill="1" applyAlignment="1">
      <alignment horizontal="left"/>
    </xf>
    <xf numFmtId="164" fontId="8" fillId="10" borderId="5" xfId="50" applyNumberFormat="1" applyFont="1" applyFill="1" applyBorder="1"/>
    <xf numFmtId="164" fontId="8" fillId="0" borderId="36" xfId="50" applyNumberFormat="1" applyFont="1" applyFill="1" applyBorder="1"/>
    <xf numFmtId="164" fontId="62" fillId="0" borderId="6" xfId="0" applyNumberFormat="1" applyFont="1" applyFill="1" applyBorder="1"/>
    <xf numFmtId="164" fontId="8" fillId="0" borderId="0" xfId="8" applyNumberFormat="1" applyFont="1" applyFill="1" applyAlignment="1">
      <alignment horizontal="center"/>
    </xf>
    <xf numFmtId="10" fontId="8" fillId="0" borderId="0" xfId="8" applyNumberFormat="1" applyFont="1" applyFill="1" applyAlignment="1">
      <alignment horizontal="center"/>
    </xf>
    <xf numFmtId="164" fontId="8" fillId="0" borderId="0" xfId="50" applyNumberFormat="1" applyFont="1" applyFill="1" applyAlignment="1">
      <alignment horizontal="center" wrapText="1"/>
    </xf>
    <xf numFmtId="164" fontId="8" fillId="0" borderId="37" xfId="50" applyNumberFormat="1" applyFont="1" applyFill="1" applyBorder="1"/>
    <xf numFmtId="164" fontId="8" fillId="0" borderId="0" xfId="8" applyNumberFormat="1" applyFont="1" applyFill="1" applyAlignment="1">
      <alignment horizontal="center" wrapText="1"/>
    </xf>
    <xf numFmtId="164" fontId="9" fillId="0" borderId="38" xfId="50" applyNumberFormat="1" applyFont="1" applyFill="1" applyBorder="1"/>
    <xf numFmtId="164" fontId="8" fillId="0" borderId="39" xfId="50" applyNumberFormat="1" applyFont="1" applyFill="1" applyBorder="1"/>
    <xf numFmtId="185" fontId="62" fillId="0" borderId="6" xfId="0" applyNumberFormat="1" applyFont="1" applyFill="1" applyBorder="1"/>
    <xf numFmtId="0" fontId="8" fillId="0" borderId="0" xfId="28" applyFont="1" applyFill="1" applyAlignment="1">
      <alignment horizontal="left"/>
    </xf>
    <xf numFmtId="164" fontId="44" fillId="0" borderId="40" xfId="50" applyNumberFormat="1" applyFont="1" applyFill="1" applyBorder="1"/>
    <xf numFmtId="164" fontId="8" fillId="0" borderId="41" xfId="50" applyNumberFormat="1" applyFont="1" applyFill="1" applyBorder="1"/>
    <xf numFmtId="164" fontId="9" fillId="0" borderId="41" xfId="50" applyNumberFormat="1" applyFont="1" applyFill="1" applyBorder="1"/>
    <xf numFmtId="43" fontId="8" fillId="0" borderId="0" xfId="8" applyFont="1" applyFill="1"/>
    <xf numFmtId="168" fontId="8" fillId="0" borderId="0" xfId="27" applyFont="1" applyFill="1"/>
    <xf numFmtId="164" fontId="44" fillId="0" borderId="0" xfId="50" applyNumberFormat="1" applyFont="1" applyFill="1"/>
    <xf numFmtId="164" fontId="9" fillId="0" borderId="0" xfId="50" applyNumberFormat="1" applyFont="1" applyFill="1"/>
    <xf numFmtId="185" fontId="62" fillId="0" borderId="0" xfId="0" applyNumberFormat="1" applyFont="1" applyFill="1"/>
    <xf numFmtId="44" fontId="8" fillId="0" borderId="0" xfId="27" applyNumberFormat="1" applyFont="1" applyFill="1" applyBorder="1" applyAlignment="1"/>
    <xf numFmtId="0" fontId="62" fillId="0" borderId="7" xfId="0" applyFont="1" applyFill="1" applyBorder="1"/>
    <xf numFmtId="0" fontId="29" fillId="0" borderId="1" xfId="0" applyFont="1" applyFill="1" applyBorder="1" applyAlignment="1">
      <alignment horizontal="left"/>
    </xf>
    <xf numFmtId="0" fontId="16" fillId="3" borderId="4" xfId="0" applyFont="1" applyFill="1" applyBorder="1"/>
    <xf numFmtId="0" fontId="38" fillId="4" borderId="4" xfId="0" applyFont="1" applyFill="1" applyBorder="1"/>
    <xf numFmtId="0" fontId="87" fillId="4" borderId="3" xfId="0" applyFont="1" applyFill="1" applyBorder="1" applyAlignment="1">
      <alignment horizontal="center"/>
    </xf>
    <xf numFmtId="0" fontId="62" fillId="0" borderId="5" xfId="0" applyFont="1" applyBorder="1"/>
    <xf numFmtId="164" fontId="21" fillId="0" borderId="0" xfId="7" applyNumberFormat="1" applyFont="1"/>
    <xf numFmtId="0" fontId="21" fillId="0" borderId="0" xfId="7" applyFont="1"/>
    <xf numFmtId="43" fontId="21" fillId="0" borderId="0" xfId="50" applyFont="1"/>
    <xf numFmtId="10" fontId="21" fillId="0" borderId="0" xfId="49" applyNumberFormat="1" applyFont="1" applyAlignment="1">
      <alignment horizontal="center"/>
    </xf>
    <xf numFmtId="0" fontId="62" fillId="0" borderId="6" xfId="0" applyFont="1" applyBorder="1"/>
    <xf numFmtId="9" fontId="21" fillId="0" borderId="0" xfId="50" applyNumberFormat="1" applyFont="1" applyAlignment="1">
      <alignment horizontal="center"/>
    </xf>
    <xf numFmtId="0" fontId="21" fillId="0" borderId="12" xfId="7" applyFont="1" applyBorder="1"/>
    <xf numFmtId="0" fontId="62" fillId="0" borderId="0" xfId="0" applyFont="1" applyAlignment="1">
      <alignment horizontal="right"/>
    </xf>
    <xf numFmtId="10" fontId="21" fillId="0" borderId="0" xfId="49" applyNumberFormat="1" applyFont="1" applyAlignment="1">
      <alignment horizontal="right"/>
    </xf>
    <xf numFmtId="43" fontId="21" fillId="0" borderId="0" xfId="7" applyNumberFormat="1" applyFont="1" applyAlignment="1">
      <alignment horizontal="right"/>
    </xf>
    <xf numFmtId="0" fontId="21" fillId="0" borderId="0" xfId="7" applyFont="1" applyAlignment="1">
      <alignment horizontal="right"/>
    </xf>
    <xf numFmtId="0" fontId="21" fillId="0" borderId="12" xfId="7" applyFont="1" applyBorder="1" applyAlignment="1">
      <alignment horizontal="right"/>
    </xf>
    <xf numFmtId="164" fontId="21" fillId="0" borderId="1" xfId="7" applyNumberFormat="1" applyFont="1" applyBorder="1"/>
    <xf numFmtId="0" fontId="21" fillId="0" borderId="1" xfId="7" applyFont="1" applyBorder="1"/>
    <xf numFmtId="0" fontId="7" fillId="0" borderId="5" xfId="0" applyFont="1" applyBorder="1"/>
    <xf numFmtId="0" fontId="7" fillId="0" borderId="0" xfId="0" applyFont="1" applyBorder="1"/>
    <xf numFmtId="0" fontId="21" fillId="0" borderId="6" xfId="0" applyNumberFormat="1" applyFont="1" applyFill="1" applyBorder="1" applyAlignment="1">
      <alignment horizontal="center"/>
    </xf>
    <xf numFmtId="0" fontId="21" fillId="0" borderId="8" xfId="0" applyNumberFormat="1" applyFont="1" applyFill="1" applyBorder="1" applyAlignment="1">
      <alignment horizontal="center"/>
    </xf>
    <xf numFmtId="0" fontId="62" fillId="0" borderId="2" xfId="0" applyFont="1" applyBorder="1"/>
    <xf numFmtId="0" fontId="8" fillId="0" borderId="4" xfId="0" applyFont="1" applyBorder="1"/>
    <xf numFmtId="0" fontId="2" fillId="0" borderId="4" xfId="0" applyFont="1" applyBorder="1"/>
    <xf numFmtId="0" fontId="8" fillId="0" borderId="3" xfId="0" applyFont="1" applyBorder="1"/>
    <xf numFmtId="3" fontId="21" fillId="0" borderId="6" xfId="0" applyNumberFormat="1" applyFont="1" applyFill="1" applyBorder="1" applyAlignment="1">
      <alignment horizontal="center"/>
    </xf>
    <xf numFmtId="166" fontId="8" fillId="0" borderId="5" xfId="6" applyNumberFormat="1" applyFont="1" applyBorder="1"/>
    <xf numFmtId="3" fontId="21" fillId="0" borderId="8" xfId="0" applyNumberFormat="1" applyFont="1" applyFill="1" applyBorder="1" applyAlignment="1">
      <alignment horizontal="center"/>
    </xf>
    <xf numFmtId="44" fontId="8" fillId="0" borderId="7" xfId="6" applyFont="1" applyBorder="1"/>
    <xf numFmtId="166" fontId="8" fillId="0" borderId="1" xfId="6" applyNumberFormat="1" applyFont="1" applyBorder="1"/>
    <xf numFmtId="0" fontId="9" fillId="0" borderId="0" xfId="0" applyFont="1" applyBorder="1"/>
    <xf numFmtId="164" fontId="9" fillId="0" borderId="7" xfId="1" applyNumberFormat="1" applyFont="1" applyBorder="1" applyAlignment="1">
      <alignment horizontal="center"/>
    </xf>
    <xf numFmtId="164" fontId="9" fillId="0" borderId="1" xfId="1" applyNumberFormat="1"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Border="1" applyAlignment="1"/>
    <xf numFmtId="0" fontId="8" fillId="0" borderId="6" xfId="0" applyFont="1" applyBorder="1" applyAlignment="1"/>
    <xf numFmtId="0" fontId="8" fillId="0" borderId="6"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Border="1" applyAlignment="1">
      <alignment horizontal="center"/>
    </xf>
    <xf numFmtId="0" fontId="8" fillId="0" borderId="1" xfId="0" applyFont="1" applyBorder="1" applyAlignment="1"/>
    <xf numFmtId="0" fontId="8" fillId="0" borderId="8" xfId="0" applyFont="1" applyBorder="1" applyAlignment="1"/>
    <xf numFmtId="0" fontId="29" fillId="0" borderId="0" xfId="0" applyFont="1"/>
    <xf numFmtId="164" fontId="62" fillId="0" borderId="0" xfId="8" applyNumberFormat="1" applyFont="1" applyFill="1"/>
    <xf numFmtId="164" fontId="29" fillId="0" borderId="0" xfId="0" applyNumberFormat="1" applyFont="1"/>
    <xf numFmtId="0" fontId="29" fillId="0" borderId="0" xfId="0" applyFont="1" applyFill="1" applyBorder="1"/>
    <xf numFmtId="0" fontId="29" fillId="4" borderId="4" xfId="0" applyFont="1" applyFill="1" applyBorder="1"/>
    <xf numFmtId="0" fontId="29" fillId="4" borderId="3" xfId="0" applyFont="1" applyFill="1" applyBorder="1"/>
    <xf numFmtId="0" fontId="62" fillId="0" borderId="0" xfId="0" applyFont="1" applyFill="1" applyBorder="1" applyAlignment="1"/>
    <xf numFmtId="0" fontId="4" fillId="3" borderId="4" xfId="0" applyFont="1" applyFill="1" applyBorder="1" applyAlignment="1">
      <alignment wrapText="1"/>
    </xf>
    <xf numFmtId="0" fontId="4" fillId="3" borderId="3" xfId="0" applyFont="1" applyFill="1" applyBorder="1" applyAlignment="1">
      <alignment wrapText="1"/>
    </xf>
    <xf numFmtId="164" fontId="62" fillId="0" borderId="0" xfId="50" applyNumberFormat="1" applyFont="1" applyBorder="1"/>
    <xf numFmtId="164" fontId="8" fillId="0" borderId="0" xfId="1" applyNumberFormat="1" applyFont="1" applyBorder="1"/>
    <xf numFmtId="164" fontId="8" fillId="0" borderId="0" xfId="0" applyNumberFormat="1" applyFont="1" applyBorder="1"/>
    <xf numFmtId="164" fontId="8" fillId="0" borderId="0" xfId="0" applyNumberFormat="1" applyFont="1" applyFill="1" applyBorder="1"/>
    <xf numFmtId="0" fontId="8" fillId="0" borderId="6" xfId="0" applyFont="1" applyBorder="1" applyAlignment="1">
      <alignment horizontal="left" wrapText="1"/>
    </xf>
    <xf numFmtId="43" fontId="62" fillId="0" borderId="0" xfId="50" applyFont="1"/>
    <xf numFmtId="164" fontId="8" fillId="0" borderId="0" xfId="1" applyNumberFormat="1" applyFont="1" applyFill="1" applyBorder="1"/>
    <xf numFmtId="164" fontId="8" fillId="0" borderId="1" xfId="1" applyNumberFormat="1" applyFont="1" applyFill="1" applyBorder="1"/>
    <xf numFmtId="164" fontId="8" fillId="0" borderId="1" xfId="0" applyNumberFormat="1" applyFont="1" applyFill="1" applyBorder="1"/>
    <xf numFmtId="0" fontId="4" fillId="0" borderId="6" xfId="0" applyFont="1" applyBorder="1" applyAlignment="1">
      <alignment horizontal="center" wrapText="1"/>
    </xf>
    <xf numFmtId="0" fontId="62" fillId="0" borderId="0" xfId="0" applyFont="1" applyBorder="1" applyAlignment="1">
      <alignment horizontal="center"/>
    </xf>
    <xf numFmtId="164" fontId="62" fillId="0" borderId="0" xfId="0" applyNumberFormat="1" applyFont="1" applyBorder="1"/>
    <xf numFmtId="0" fontId="2" fillId="0" borderId="0" xfId="0" applyFont="1" applyFill="1" applyBorder="1" applyAlignment="1">
      <alignment horizontal="center" wrapText="1"/>
    </xf>
    <xf numFmtId="0" fontId="4" fillId="0" borderId="0" xfId="0" applyFont="1" applyFill="1" applyBorder="1" applyAlignment="1">
      <alignment wrapText="1"/>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4" fillId="4" borderId="4" xfId="0" applyFont="1" applyFill="1" applyBorder="1" applyAlignment="1">
      <alignment wrapText="1"/>
    </xf>
    <xf numFmtId="0" fontId="4" fillId="4" borderId="3" xfId="0" applyFont="1" applyFill="1" applyBorder="1" applyAlignment="1">
      <alignment wrapText="1"/>
    </xf>
    <xf numFmtId="0" fontId="4" fillId="0" borderId="0" xfId="0" applyFont="1" applyFill="1" applyBorder="1" applyAlignment="1">
      <alignment horizontal="center" wrapText="1"/>
    </xf>
    <xf numFmtId="0" fontId="4" fillId="0" borderId="6" xfId="0" applyFont="1" applyFill="1" applyBorder="1" applyAlignment="1">
      <alignment horizontal="center" wrapText="1"/>
    </xf>
    <xf numFmtId="0" fontId="7" fillId="0" borderId="0" xfId="0" applyFont="1" applyFill="1" applyBorder="1" applyAlignment="1">
      <alignment horizontal="left"/>
    </xf>
    <xf numFmtId="0" fontId="85" fillId="0" borderId="1" xfId="0" applyFont="1" applyFill="1" applyBorder="1"/>
    <xf numFmtId="0" fontId="4" fillId="0" borderId="4" xfId="0" applyFont="1" applyFill="1" applyBorder="1" applyAlignment="1">
      <alignment horizontal="center"/>
    </xf>
    <xf numFmtId="0" fontId="4" fillId="0" borderId="3" xfId="0" applyFont="1" applyFill="1" applyBorder="1" applyAlignment="1">
      <alignment horizontal="center"/>
    </xf>
    <xf numFmtId="0" fontId="8" fillId="0" borderId="6" xfId="0" applyNumberFormat="1" applyFont="1" applyFill="1" applyBorder="1" applyAlignment="1">
      <alignment horizontal="left" wrapText="1"/>
    </xf>
    <xf numFmtId="164" fontId="8" fillId="0" borderId="1" xfId="1" applyNumberFormat="1" applyFont="1" applyBorder="1"/>
    <xf numFmtId="164" fontId="8" fillId="0" borderId="1" xfId="0" applyNumberFormat="1" applyFont="1" applyBorder="1"/>
    <xf numFmtId="166" fontId="62" fillId="0" borderId="0" xfId="0" applyNumberFormat="1" applyFont="1"/>
    <xf numFmtId="166" fontId="62" fillId="5" borderId="0" xfId="6" applyNumberFormat="1" applyFont="1" applyFill="1" applyAlignment="1"/>
    <xf numFmtId="0" fontId="8" fillId="0" borderId="0" xfId="7" applyFont="1"/>
    <xf numFmtId="10" fontId="62" fillId="5" borderId="0" xfId="0" applyNumberFormat="1" applyFont="1" applyFill="1"/>
    <xf numFmtId="0" fontId="8" fillId="0" borderId="0" xfId="7" applyFont="1" applyAlignment="1">
      <alignment horizontal="right"/>
    </xf>
    <xf numFmtId="164" fontId="62" fillId="5" borderId="0" xfId="8" applyNumberFormat="1" applyFont="1" applyFill="1" applyAlignment="1"/>
    <xf numFmtId="167" fontId="62" fillId="5" borderId="0" xfId="0" applyNumberFormat="1" applyFont="1" applyFill="1"/>
    <xf numFmtId="166" fontId="62" fillId="5" borderId="17" xfId="6" applyNumberFormat="1" applyFont="1" applyFill="1" applyBorder="1" applyAlignment="1"/>
    <xf numFmtId="0" fontId="21" fillId="0" borderId="0" xfId="5" applyFont="1"/>
    <xf numFmtId="164" fontId="21" fillId="0" borderId="0" xfId="5" applyNumberFormat="1" applyFont="1"/>
    <xf numFmtId="164" fontId="8" fillId="0" borderId="5" xfId="1" applyNumberFormat="1" applyFont="1" applyBorder="1"/>
    <xf numFmtId="164" fontId="8" fillId="10" borderId="5" xfId="0" applyNumberFormat="1" applyFont="1" applyFill="1" applyBorder="1"/>
    <xf numFmtId="164" fontId="8" fillId="10" borderId="0" xfId="0" applyNumberFormat="1" applyFont="1" applyFill="1" applyBorder="1"/>
    <xf numFmtId="0" fontId="8" fillId="0" borderId="0" xfId="0" applyFont="1" applyBorder="1" applyAlignment="1">
      <alignment horizontal="left"/>
    </xf>
    <xf numFmtId="43" fontId="8" fillId="0" borderId="0" xfId="0" applyNumberFormat="1" applyFont="1" applyBorder="1"/>
    <xf numFmtId="164" fontId="8" fillId="10" borderId="7" xfId="0" applyNumberFormat="1" applyFont="1" applyFill="1" applyBorder="1"/>
    <xf numFmtId="164" fontId="8" fillId="10" borderId="1" xfId="0" applyNumberFormat="1" applyFont="1" applyFill="1" applyBorder="1"/>
    <xf numFmtId="0" fontId="2" fillId="3" borderId="4" xfId="0" applyFont="1" applyFill="1" applyBorder="1" applyAlignment="1">
      <alignment horizontal="center"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4" fillId="0" borderId="0" xfId="0" applyFont="1" applyBorder="1" applyAlignment="1">
      <alignment horizontal="center" wrapText="1"/>
    </xf>
    <xf numFmtId="164" fontId="8" fillId="0" borderId="5" xfId="1" applyNumberFormat="1" applyFont="1" applyFill="1" applyBorder="1"/>
    <xf numFmtId="164" fontId="8" fillId="0" borderId="0" xfId="8" applyNumberFormat="1" applyFont="1" applyFill="1" applyBorder="1"/>
    <xf numFmtId="164" fontId="8" fillId="0" borderId="7" xfId="1" applyNumberFormat="1" applyFont="1" applyFill="1" applyBorder="1"/>
    <xf numFmtId="0" fontId="21" fillId="0" borderId="6" xfId="0" applyFont="1" applyBorder="1" applyAlignment="1">
      <alignment horizontal="left" wrapText="1"/>
    </xf>
    <xf numFmtId="0" fontId="2" fillId="3" borderId="3" xfId="0" applyFont="1" applyFill="1" applyBorder="1" applyAlignment="1">
      <alignment wrapText="1"/>
    </xf>
    <xf numFmtId="164" fontId="8" fillId="0" borderId="1" xfId="8" applyNumberFormat="1" applyFont="1" applyFill="1" applyBorder="1"/>
    <xf numFmtId="166" fontId="44" fillId="0" borderId="0" xfId="6" applyNumberFormat="1" applyFont="1" applyFill="1"/>
    <xf numFmtId="170" fontId="113" fillId="0" borderId="0" xfId="8" applyNumberFormat="1" applyFont="1" applyAlignment="1">
      <alignment horizontal="center"/>
    </xf>
    <xf numFmtId="164" fontId="113" fillId="0" borderId="0" xfId="8" applyNumberFormat="1" applyFont="1" applyAlignment="1">
      <alignment wrapText="1"/>
    </xf>
    <xf numFmtId="0" fontId="78" fillId="0" borderId="0" xfId="0" applyFont="1" applyAlignment="1">
      <alignment vertical="center"/>
    </xf>
    <xf numFmtId="164" fontId="8" fillId="10" borderId="0" xfId="0" applyNumberFormat="1" applyFont="1" applyFill="1"/>
    <xf numFmtId="43" fontId="20" fillId="0" borderId="0" xfId="50" applyFont="1"/>
    <xf numFmtId="168" fontId="65" fillId="10" borderId="27" xfId="52" applyFont="1" applyFill="1" applyBorder="1"/>
    <xf numFmtId="0" fontId="99" fillId="0" borderId="0" xfId="152" applyFont="1" applyAlignment="1">
      <alignment horizontal="left" indent="1"/>
    </xf>
    <xf numFmtId="0" fontId="70" fillId="0" borderId="0" xfId="0" applyFont="1" applyAlignment="1">
      <alignment wrapText="1"/>
    </xf>
    <xf numFmtId="0" fontId="70" fillId="0" borderId="0" xfId="0" applyFont="1" applyAlignment="1">
      <alignment vertical="center" wrapText="1"/>
    </xf>
    <xf numFmtId="15" fontId="44" fillId="10" borderId="0" xfId="0" quotePrefix="1" applyNumberFormat="1" applyFont="1" applyFill="1"/>
    <xf numFmtId="0" fontId="2" fillId="3" borderId="4" xfId="0" applyFont="1" applyFill="1" applyBorder="1" applyAlignment="1">
      <alignment horizontal="center" wrapText="1"/>
    </xf>
    <xf numFmtId="0" fontId="2" fillId="3" borderId="4" xfId="0" applyFont="1" applyFill="1" applyBorder="1" applyAlignment="1">
      <alignment horizontal="center" wrapText="1"/>
    </xf>
    <xf numFmtId="164" fontId="115" fillId="2" borderId="0" xfId="8" applyNumberFormat="1" applyFont="1" applyFill="1"/>
    <xf numFmtId="0" fontId="115" fillId="0" borderId="0" xfId="5" applyFont="1" applyFill="1"/>
    <xf numFmtId="0" fontId="8" fillId="0" borderId="0" xfId="5" applyFont="1"/>
    <xf numFmtId="164" fontId="8" fillId="0" borderId="0" xfId="8" applyNumberFormat="1" applyFont="1" applyFill="1"/>
    <xf numFmtId="164" fontId="8" fillId="0" borderId="0" xfId="10" applyNumberFormat="1" applyFont="1" applyFill="1"/>
    <xf numFmtId="164" fontId="65" fillId="10" borderId="27" xfId="8" applyNumberFormat="1" applyFont="1" applyFill="1" applyBorder="1"/>
    <xf numFmtId="168" fontId="8" fillId="0" borderId="0" xfId="29" applyFont="1" applyFill="1" applyAlignment="1"/>
    <xf numFmtId="168" fontId="8" fillId="14" borderId="23" xfId="27" applyFont="1" applyFill="1" applyBorder="1" applyAlignment="1">
      <alignment horizontal="center" wrapText="1"/>
    </xf>
    <xf numFmtId="1" fontId="8" fillId="14" borderId="23" xfId="27" applyNumberFormat="1" applyFont="1" applyFill="1" applyBorder="1" applyAlignment="1">
      <alignment horizontal="center" wrapText="1"/>
    </xf>
    <xf numFmtId="0" fontId="8" fillId="0" borderId="0" xfId="8" applyNumberFormat="1" applyFont="1" applyAlignment="1">
      <alignment horizontal="center"/>
    </xf>
    <xf numFmtId="0" fontId="8" fillId="0" borderId="0" xfId="8" applyNumberFormat="1" applyFont="1" applyAlignment="1">
      <alignment horizontal="left" wrapText="1"/>
    </xf>
    <xf numFmtId="0" fontId="8" fillId="0" borderId="0" xfId="16" applyAlignment="1">
      <alignment horizontal="left" wrapText="1"/>
    </xf>
    <xf numFmtId="0" fontId="8" fillId="0" borderId="0" xfId="8" applyNumberFormat="1" applyFont="1" applyFill="1" applyAlignment="1">
      <alignment horizontal="left" wrapText="1"/>
    </xf>
    <xf numFmtId="0" fontId="8" fillId="0" borderId="0" xfId="0" applyFont="1" applyAlignment="1">
      <alignment horizontal="left"/>
    </xf>
    <xf numFmtId="0" fontId="97" fillId="0" borderId="0" xfId="0" applyFont="1" applyAlignment="1">
      <alignment horizontal="right" vertical="top"/>
    </xf>
    <xf numFmtId="0" fontId="97" fillId="0" borderId="0" xfId="152" applyFont="1" applyAlignment="1">
      <alignment horizontal="left" vertical="top"/>
    </xf>
    <xf numFmtId="0" fontId="95" fillId="0" borderId="0" xfId="0" applyFont="1" applyAlignment="1">
      <alignment vertical="top"/>
    </xf>
    <xf numFmtId="41" fontId="11" fillId="0" borderId="0" xfId="7" applyNumberFormat="1" applyFont="1"/>
    <xf numFmtId="164" fontId="4" fillId="0" borderId="0" xfId="50" applyNumberFormat="1" applyFont="1" applyFill="1"/>
    <xf numFmtId="0" fontId="116" fillId="0" borderId="0" xfId="0" applyFont="1" applyFill="1" applyAlignment="1">
      <alignment horizontal="center" vertical="center" wrapText="1"/>
    </xf>
    <xf numFmtId="0" fontId="20" fillId="0" borderId="0" xfId="0" applyFont="1" applyAlignment="1">
      <alignment horizontal="left" vertical="center" wrapText="1"/>
    </xf>
    <xf numFmtId="10" fontId="95" fillId="0" borderId="0" xfId="12" applyNumberFormat="1" applyFont="1" applyAlignment="1">
      <alignment horizontal="center" vertical="center"/>
    </xf>
    <xf numFmtId="164" fontId="8" fillId="0" borderId="0" xfId="0" applyNumberFormat="1" applyFont="1" applyFill="1" applyBorder="1" applyAlignment="1">
      <alignment wrapText="1"/>
    </xf>
    <xf numFmtId="164" fontId="8" fillId="0" borderId="1" xfId="0" applyNumberFormat="1" applyFont="1" applyFill="1" applyBorder="1" applyAlignment="1"/>
    <xf numFmtId="0" fontId="2" fillId="3" borderId="4" xfId="0" applyFont="1" applyFill="1" applyBorder="1" applyAlignment="1">
      <alignment horizontal="center" wrapText="1"/>
    </xf>
    <xf numFmtId="0" fontId="21" fillId="0" borderId="0" xfId="0" applyFont="1" applyAlignment="1">
      <alignment horizontal="center"/>
    </xf>
    <xf numFmtId="3" fontId="21" fillId="0" borderId="19" xfId="0" applyNumberFormat="1" applyFont="1" applyBorder="1" applyAlignment="1">
      <alignment horizontal="right"/>
    </xf>
    <xf numFmtId="164" fontId="8" fillId="0" borderId="0" xfId="8" applyNumberFormat="1" applyFont="1" applyFill="1" applyBorder="1"/>
    <xf numFmtId="0" fontId="20" fillId="0" borderId="0" xfId="0" applyFont="1" applyBorder="1" applyAlignment="1"/>
    <xf numFmtId="0" fontId="8" fillId="0" borderId="0" xfId="0" applyFont="1"/>
    <xf numFmtId="0" fontId="20" fillId="0" borderId="0" xfId="0" applyFont="1"/>
    <xf numFmtId="0" fontId="21" fillId="0" borderId="0" xfId="0" applyFont="1" applyAlignment="1">
      <alignment horizontal="center"/>
    </xf>
    <xf numFmtId="0" fontId="21" fillId="0" borderId="0" xfId="0" applyFont="1" applyAlignment="1">
      <alignment horizontal="center"/>
    </xf>
    <xf numFmtId="10" fontId="95" fillId="0" borderId="0" xfId="0" applyNumberFormat="1" applyFont="1"/>
    <xf numFmtId="10" fontId="95" fillId="0" borderId="0" xfId="49" applyNumberFormat="1" applyFont="1"/>
    <xf numFmtId="0" fontId="21" fillId="0" borderId="0" xfId="0" applyFont="1" applyAlignment="1">
      <alignment horizontal="center"/>
    </xf>
    <xf numFmtId="0" fontId="21" fillId="0" borderId="0" xfId="0" applyFont="1" applyFill="1" applyBorder="1" applyAlignment="1">
      <alignment horizontal="center"/>
    </xf>
    <xf numFmtId="43" fontId="0" fillId="0" borderId="0" xfId="50" applyFont="1" applyFill="1" applyAlignment="1">
      <alignment horizontal="right"/>
    </xf>
    <xf numFmtId="0" fontId="21" fillId="0" borderId="0" xfId="0" applyFont="1" applyAlignment="1">
      <alignment horizontal="center"/>
    </xf>
    <xf numFmtId="0" fontId="81" fillId="0" borderId="0" xfId="55" applyFont="1"/>
    <xf numFmtId="0" fontId="8" fillId="0" borderId="0" xfId="0" applyFont="1" applyAlignment="1">
      <alignment horizontal="center" wrapText="1"/>
    </xf>
    <xf numFmtId="0" fontId="9" fillId="0" borderId="0" xfId="0" applyFont="1"/>
    <xf numFmtId="0" fontId="9" fillId="0" borderId="0" xfId="28" applyFont="1" applyAlignment="1">
      <alignment horizontal="center"/>
    </xf>
    <xf numFmtId="0" fontId="9" fillId="0" borderId="0" xfId="28" applyFont="1" applyAlignment="1">
      <alignment horizontal="center" wrapText="1"/>
    </xf>
    <xf numFmtId="1" fontId="8" fillId="0" borderId="12" xfId="0" applyNumberFormat="1" applyFont="1" applyBorder="1" applyAlignment="1">
      <alignment horizontal="center"/>
    </xf>
    <xf numFmtId="0" fontId="8" fillId="0" borderId="12" xfId="0" applyFont="1" applyBorder="1"/>
    <xf numFmtId="0" fontId="9" fillId="0" borderId="0" xfId="151" applyFont="1" applyAlignment="1">
      <alignment horizontal="center"/>
    </xf>
    <xf numFmtId="0" fontId="8" fillId="0" borderId="0" xfId="50" applyNumberFormat="1" applyFont="1" applyAlignment="1">
      <alignment horizontal="left"/>
    </xf>
    <xf numFmtId="1" fontId="8" fillId="0" borderId="0" xfId="151" applyNumberFormat="1" applyFont="1" applyAlignment="1">
      <alignment horizontal="center"/>
    </xf>
    <xf numFmtId="164" fontId="8" fillId="0" borderId="12" xfId="151" applyNumberFormat="1" applyFont="1" applyBorder="1" applyAlignment="1" applyProtection="1">
      <alignment horizontal="center"/>
      <protection locked="0"/>
    </xf>
    <xf numFmtId="0" fontId="8" fillId="0" borderId="0" xfId="0" applyFont="1" applyAlignment="1">
      <alignment horizontal="center"/>
    </xf>
    <xf numFmtId="186" fontId="8" fillId="0" borderId="0" xfId="151" applyNumberFormat="1" applyFont="1" applyAlignment="1">
      <alignment horizontal="left"/>
    </xf>
    <xf numFmtId="187" fontId="8" fillId="0" borderId="0" xfId="151" applyNumberFormat="1" applyFont="1" applyAlignment="1">
      <alignment horizontal="center"/>
    </xf>
    <xf numFmtId="188" fontId="8" fillId="0" borderId="0" xfId="48" applyNumberFormat="1" applyFont="1"/>
    <xf numFmtId="166" fontId="8" fillId="10" borderId="0" xfId="48" applyNumberFormat="1" applyFont="1" applyFill="1" applyProtection="1">
      <protection locked="0"/>
    </xf>
    <xf numFmtId="166" fontId="8" fillId="0" borderId="0" xfId="48" applyNumberFormat="1" applyFont="1"/>
    <xf numFmtId="166" fontId="8" fillId="10" borderId="0" xfId="48" applyNumberFormat="1" applyFont="1" applyFill="1"/>
    <xf numFmtId="166" fontId="8" fillId="0" borderId="0" xfId="0" applyNumberFormat="1" applyFont="1" applyProtection="1">
      <protection locked="0"/>
    </xf>
    <xf numFmtId="44" fontId="20" fillId="0" borderId="0" xfId="0" applyNumberFormat="1" applyFont="1"/>
    <xf numFmtId="170" fontId="8" fillId="0" borderId="0" xfId="50" applyNumberFormat="1" applyFont="1"/>
    <xf numFmtId="164" fontId="8" fillId="10" borderId="0" xfId="50" applyNumberFormat="1" applyFont="1" applyFill="1" applyProtection="1">
      <protection locked="0"/>
    </xf>
    <xf numFmtId="164" fontId="8" fillId="0" borderId="0" xfId="50" applyNumberFormat="1" applyFont="1" applyProtection="1">
      <protection locked="0"/>
    </xf>
    <xf numFmtId="187" fontId="8" fillId="0" borderId="0" xfId="0" applyNumberFormat="1" applyFont="1" applyAlignment="1">
      <alignment horizontal="center"/>
    </xf>
    <xf numFmtId="0" fontId="8" fillId="0" borderId="0" xfId="151" applyFont="1" applyAlignment="1">
      <alignment horizontal="left"/>
    </xf>
    <xf numFmtId="166" fontId="8" fillId="0" borderId="0" xfId="48" applyNumberFormat="1" applyFont="1" applyProtection="1">
      <protection locked="0"/>
    </xf>
    <xf numFmtId="166" fontId="8" fillId="0" borderId="21" xfId="48" applyNumberFormat="1" applyFont="1" applyBorder="1" applyProtection="1">
      <protection locked="0"/>
    </xf>
    <xf numFmtId="188" fontId="8" fillId="0" borderId="21" xfId="48" applyNumberFormat="1" applyFont="1" applyBorder="1" applyProtection="1">
      <protection locked="0"/>
    </xf>
    <xf numFmtId="3" fontId="20" fillId="0" borderId="0" xfId="0" applyNumberFormat="1" applyFont="1"/>
    <xf numFmtId="166" fontId="20" fillId="0" borderId="0" xfId="0" applyNumberFormat="1" applyFont="1"/>
    <xf numFmtId="10" fontId="8" fillId="0" borderId="0" xfId="49" applyNumberFormat="1" applyFont="1"/>
    <xf numFmtId="43" fontId="8" fillId="0" borderId="0" xfId="50" applyFont="1"/>
    <xf numFmtId="183" fontId="8" fillId="0" borderId="0" xfId="0" applyNumberFormat="1" applyFont="1"/>
    <xf numFmtId="164" fontId="8" fillId="0" borderId="0" xfId="50" quotePrefix="1" applyNumberFormat="1" applyFont="1" applyAlignment="1">
      <alignment horizontal="left"/>
    </xf>
    <xf numFmtId="43" fontId="8" fillId="0" borderId="0" xfId="0" applyNumberFormat="1" applyFont="1"/>
    <xf numFmtId="164" fontId="20" fillId="0" borderId="0" xfId="50" applyNumberFormat="1" applyFont="1"/>
    <xf numFmtId="183" fontId="20" fillId="0" borderId="0" xfId="0" applyNumberFormat="1" applyFont="1"/>
    <xf numFmtId="37" fontId="8" fillId="0" borderId="0" xfId="0" applyNumberFormat="1" applyFont="1" applyFill="1" applyAlignment="1">
      <alignment horizontal="right" wrapText="1"/>
    </xf>
    <xf numFmtId="164" fontId="62" fillId="0" borderId="0" xfId="50" applyNumberFormat="1" applyFont="1" applyFill="1" applyBorder="1" applyAlignment="1">
      <alignment horizontal="left"/>
    </xf>
    <xf numFmtId="164" fontId="62" fillId="0" borderId="0" xfId="50" applyNumberFormat="1" applyFont="1" applyFill="1" applyAlignment="1">
      <alignment horizontal="left"/>
    </xf>
    <xf numFmtId="164" fontId="8" fillId="0" borderId="0" xfId="50" applyNumberFormat="1" applyFont="1" applyFill="1" applyBorder="1"/>
    <xf numFmtId="10" fontId="21" fillId="0" borderId="20" xfId="12" applyNumberFormat="1" applyFont="1" applyBorder="1" applyAlignment="1"/>
    <xf numFmtId="10" fontId="21" fillId="0" borderId="20" xfId="12" applyNumberFormat="1" applyFont="1" applyFill="1" applyBorder="1" applyAlignment="1"/>
    <xf numFmtId="10" fontId="21" fillId="0" borderId="0" xfId="12" applyNumberFormat="1" applyFont="1" applyBorder="1" applyAlignment="1"/>
    <xf numFmtId="10" fontId="21" fillId="0" borderId="12" xfId="0" applyNumberFormat="1" applyFont="1" applyBorder="1" applyAlignment="1">
      <alignment horizontal="right"/>
    </xf>
    <xf numFmtId="10" fontId="21" fillId="0" borderId="0" xfId="0" applyNumberFormat="1" applyFont="1"/>
    <xf numFmtId="10" fontId="0" fillId="2" borderId="0" xfId="0" applyNumberFormat="1" applyFill="1" applyAlignment="1">
      <alignment horizontal="center" wrapText="1"/>
    </xf>
    <xf numFmtId="10" fontId="8" fillId="0" borderId="0" xfId="17" applyNumberFormat="1" applyFill="1"/>
    <xf numFmtId="10" fontId="21" fillId="0" borderId="0" xfId="2" applyNumberFormat="1" applyFont="1" applyFill="1"/>
    <xf numFmtId="10" fontId="8" fillId="0" borderId="0" xfId="2" applyNumberFormat="1"/>
    <xf numFmtId="10" fontId="0" fillId="0" borderId="0" xfId="0" applyNumberFormat="1"/>
    <xf numFmtId="10" fontId="0" fillId="0" borderId="0" xfId="49" applyNumberFormat="1" applyFont="1" applyFill="1" applyProtection="1"/>
    <xf numFmtId="166" fontId="8" fillId="0" borderId="0" xfId="48" applyNumberFormat="1" applyFont="1" applyAlignment="1">
      <alignment horizontal="center"/>
    </xf>
    <xf numFmtId="10" fontId="12" fillId="0" borderId="5" xfId="0" applyNumberFormat="1" applyFont="1" applyBorder="1"/>
    <xf numFmtId="10" fontId="12" fillId="0" borderId="5" xfId="2" applyNumberFormat="1" applyFont="1" applyBorder="1"/>
    <xf numFmtId="168" fontId="21" fillId="0" borderId="0" xfId="21" applyFont="1" applyAlignment="1" applyProtection="1">
      <alignment horizontal="left" vertical="top" wrapText="1"/>
      <protection locked="0"/>
    </xf>
    <xf numFmtId="0" fontId="21" fillId="0" borderId="0" xfId="0" applyFont="1" applyAlignment="1">
      <alignment horizontal="left" vertical="top" wrapText="1"/>
    </xf>
    <xf numFmtId="168" fontId="21" fillId="0" borderId="0" xfId="21" applyFont="1" applyAlignment="1" applyProtection="1">
      <alignment horizontal="left" wrapText="1"/>
      <protection locked="0"/>
    </xf>
    <xf numFmtId="0" fontId="21" fillId="0" borderId="0" xfId="0" applyFont="1" applyAlignment="1">
      <alignment vertical="top" wrapText="1"/>
    </xf>
    <xf numFmtId="0" fontId="62" fillId="0" borderId="0" xfId="0" applyFont="1" applyAlignment="1">
      <alignment vertical="top" wrapText="1"/>
    </xf>
    <xf numFmtId="0" fontId="44" fillId="0" borderId="0" xfId="0" applyFont="1" applyAlignment="1">
      <alignment horizontal="left" vertical="top" wrapText="1"/>
    </xf>
    <xf numFmtId="0" fontId="44" fillId="10" borderId="0" xfId="0" applyFont="1" applyFill="1" applyAlignment="1">
      <alignment horizontal="left" vertical="top" wrapText="1"/>
    </xf>
    <xf numFmtId="0" fontId="63" fillId="0" borderId="12" xfId="0" applyFont="1" applyBorder="1" applyAlignment="1">
      <alignment horizontal="center" vertical="center"/>
    </xf>
    <xf numFmtId="0" fontId="63" fillId="0" borderId="29" xfId="0" applyFont="1" applyBorder="1" applyAlignment="1">
      <alignment horizontal="center" vertical="center"/>
    </xf>
    <xf numFmtId="0" fontId="63" fillId="0" borderId="19" xfId="0" applyFont="1" applyBorder="1" applyAlignment="1">
      <alignment horizontal="center" vertical="center"/>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44" fillId="0" borderId="0" xfId="0" applyFont="1" applyAlignment="1">
      <alignment horizontal="left" vertical="top"/>
    </xf>
    <xf numFmtId="0" fontId="84" fillId="0" borderId="0" xfId="0" applyFont="1" applyAlignment="1">
      <alignment horizontal="center"/>
    </xf>
    <xf numFmtId="0" fontId="9" fillId="0" borderId="0" xfId="16" applyFont="1" applyAlignment="1">
      <alignment horizontal="left" vertical="top" wrapText="1"/>
    </xf>
    <xf numFmtId="0" fontId="7" fillId="0" borderId="0" xfId="16" applyFont="1" applyAlignment="1">
      <alignment horizontal="center"/>
    </xf>
    <xf numFmtId="0" fontId="7" fillId="0" borderId="0" xfId="19" applyFont="1" applyAlignment="1">
      <alignment horizontal="center"/>
    </xf>
    <xf numFmtId="15" fontId="9" fillId="10" borderId="0" xfId="19" quotePrefix="1" applyNumberFormat="1" applyFont="1" applyFill="1" applyAlignment="1">
      <alignment horizontal="center"/>
    </xf>
    <xf numFmtId="0" fontId="8" fillId="0" borderId="0" xfId="16" applyAlignment="1">
      <alignment horizontal="left" vertical="top" wrapText="1"/>
    </xf>
    <xf numFmtId="0" fontId="63" fillId="0" borderId="0" xfId="16" applyFont="1" applyAlignment="1">
      <alignment horizontal="left" vertical="top" wrapText="1"/>
    </xf>
    <xf numFmtId="0" fontId="63" fillId="0" borderId="0" xfId="0" applyFont="1" applyAlignment="1">
      <alignment horizontal="left" vertical="center" indent="1"/>
    </xf>
    <xf numFmtId="0" fontId="63" fillId="0" borderId="12" xfId="0" applyFont="1" applyBorder="1" applyAlignment="1">
      <alignment horizontal="left" vertical="center" indent="1"/>
    </xf>
    <xf numFmtId="0" fontId="103" fillId="13" borderId="12" xfId="0" applyFont="1" applyFill="1" applyBorder="1" applyAlignment="1">
      <alignment horizontal="left"/>
    </xf>
    <xf numFmtId="0" fontId="105" fillId="13" borderId="0" xfId="0" applyFont="1" applyFill="1" applyAlignment="1">
      <alignment horizontal="center"/>
    </xf>
    <xf numFmtId="0" fontId="103" fillId="13" borderId="0" xfId="0" applyFont="1" applyFill="1" applyAlignment="1">
      <alignment horizontal="left"/>
    </xf>
    <xf numFmtId="0" fontId="8" fillId="0" borderId="0" xfId="0" applyFont="1" applyAlignment="1">
      <alignment horizontal="left" vertical="top" wrapText="1"/>
    </xf>
    <xf numFmtId="0" fontId="63" fillId="0" borderId="0" xfId="0" applyFont="1" applyAlignment="1">
      <alignment horizontal="center" vertical="center"/>
    </xf>
    <xf numFmtId="0" fontId="63" fillId="0" borderId="0" xfId="0" applyFont="1" applyAlignment="1">
      <alignment horizontal="left" vertical="center"/>
    </xf>
    <xf numFmtId="0" fontId="63" fillId="0" borderId="12" xfId="0" applyFont="1" applyBorder="1" applyAlignment="1">
      <alignment horizontal="left" vertical="center"/>
    </xf>
    <xf numFmtId="0" fontId="44" fillId="0" borderId="0" xfId="0" applyFont="1" applyAlignment="1">
      <alignment horizontal="left" vertical="center" wrapText="1" indent="1"/>
    </xf>
    <xf numFmtId="0" fontId="44" fillId="0" borderId="12" xfId="0" applyFont="1" applyBorder="1" applyAlignment="1">
      <alignment horizontal="left" vertical="center" wrapText="1" indent="1"/>
    </xf>
    <xf numFmtId="0" fontId="85" fillId="0" borderId="22" xfId="0" applyFont="1" applyBorder="1" applyAlignment="1">
      <alignment horizontal="center"/>
    </xf>
    <xf numFmtId="0" fontId="85" fillId="0" borderId="21" xfId="0" applyFont="1" applyBorder="1" applyAlignment="1">
      <alignment horizontal="center"/>
    </xf>
    <xf numFmtId="0" fontId="85" fillId="0" borderId="24" xfId="0" applyFont="1" applyBorder="1" applyAlignment="1">
      <alignment horizontal="center"/>
    </xf>
    <xf numFmtId="0" fontId="63" fillId="0" borderId="0" xfId="0" applyFont="1" applyAlignment="1">
      <alignment horizontal="left" vertical="center" wrapText="1"/>
    </xf>
    <xf numFmtId="0" fontId="63" fillId="0" borderId="12" xfId="0" applyFont="1" applyBorder="1" applyAlignment="1">
      <alignment horizontal="left"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0" xfId="0" applyFont="1" applyAlignment="1">
      <alignment horizontal="center" wrapText="1"/>
    </xf>
    <xf numFmtId="0" fontId="44" fillId="0" borderId="12" xfId="0" applyFont="1" applyBorder="1" applyAlignment="1">
      <alignment horizontal="center" wrapText="1"/>
    </xf>
    <xf numFmtId="0" fontId="8" fillId="0" borderId="0" xfId="154" applyFont="1" applyAlignment="1">
      <alignment horizontal="left" vertical="top" wrapText="1"/>
    </xf>
    <xf numFmtId="0" fontId="44" fillId="0" borderId="0" xfId="154" applyAlignment="1">
      <alignment horizontal="left" vertical="top" wrapText="1"/>
    </xf>
    <xf numFmtId="0" fontId="106" fillId="13" borderId="22" xfId="0" applyFont="1" applyFill="1" applyBorder="1" applyAlignment="1">
      <alignment horizontal="center"/>
    </xf>
    <xf numFmtId="0" fontId="106" fillId="13" borderId="21" xfId="0" applyFont="1" applyFill="1" applyBorder="1" applyAlignment="1">
      <alignment horizontal="center"/>
    </xf>
    <xf numFmtId="0" fontId="106" fillId="13" borderId="24" xfId="0" applyFont="1" applyFill="1" applyBorder="1" applyAlignment="1">
      <alignment horizontal="center"/>
    </xf>
    <xf numFmtId="0" fontId="84" fillId="0" borderId="22" xfId="0" applyFont="1" applyBorder="1" applyAlignment="1">
      <alignment horizontal="center"/>
    </xf>
    <xf numFmtId="0" fontId="84" fillId="0" borderId="21" xfId="0" applyFont="1" applyBorder="1" applyAlignment="1">
      <alignment horizontal="center"/>
    </xf>
    <xf numFmtId="0" fontId="84" fillId="0" borderId="24" xfId="0" applyFont="1" applyBorder="1" applyAlignment="1">
      <alignment horizontal="center"/>
    </xf>
    <xf numFmtId="0" fontId="1" fillId="0" borderId="0" xfId="0" applyFont="1" applyAlignment="1">
      <alignment horizontal="center"/>
    </xf>
    <xf numFmtId="0" fontId="0" fillId="0" borderId="0" xfId="0" applyAlignment="1"/>
    <xf numFmtId="0" fontId="3" fillId="0" borderId="0" xfId="0" applyFont="1" applyAlignment="1">
      <alignment horizontal="center"/>
    </xf>
    <xf numFmtId="0" fontId="21" fillId="0" borderId="0" xfId="0" applyFont="1" applyAlignment="1">
      <alignment horizontal="center"/>
    </xf>
    <xf numFmtId="0" fontId="15" fillId="0" borderId="0" xfId="0" applyFont="1" applyAlignment="1">
      <alignment horizontal="center"/>
    </xf>
    <xf numFmtId="0" fontId="18" fillId="4" borderId="14" xfId="0" applyFont="1" applyFill="1" applyBorder="1" applyAlignment="1">
      <alignment horizontal="center" wrapText="1"/>
    </xf>
    <xf numFmtId="0" fontId="18" fillId="4" borderId="15" xfId="0" applyFont="1" applyFill="1" applyBorder="1" applyAlignment="1">
      <alignment horizontal="center" wrapText="1"/>
    </xf>
    <xf numFmtId="0" fontId="18" fillId="4" borderId="16" xfId="0" applyFont="1" applyFill="1" applyBorder="1" applyAlignment="1">
      <alignment horizontal="center" wrapText="1"/>
    </xf>
    <xf numFmtId="0" fontId="29" fillId="8" borderId="0" xfId="0" applyFont="1" applyFill="1" applyAlignment="1">
      <alignment horizontal="left" vertical="top" wrapText="1"/>
    </xf>
    <xf numFmtId="0" fontId="62" fillId="8" borderId="1" xfId="0" applyFont="1" applyFill="1" applyBorder="1" applyAlignment="1">
      <alignment horizontal="left" vertical="center" wrapText="1"/>
    </xf>
    <xf numFmtId="0" fontId="16" fillId="3" borderId="4" xfId="0" applyFont="1" applyFill="1" applyBorder="1" applyAlignment="1">
      <alignment horizontal="center"/>
    </xf>
    <xf numFmtId="0" fontId="62" fillId="0" borderId="4" xfId="0" applyFont="1" applyBorder="1" applyAlignment="1">
      <alignment horizont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3" xfId="0" applyFont="1" applyFill="1" applyBorder="1" applyAlignment="1">
      <alignment horizontal="center"/>
    </xf>
    <xf numFmtId="0" fontId="18" fillId="4" borderId="14" xfId="0" applyFont="1" applyFill="1" applyBorder="1" applyAlignment="1">
      <alignment horizontal="left"/>
    </xf>
    <xf numFmtId="0" fontId="18" fillId="4" borderId="15" xfId="0" applyFont="1" applyFill="1" applyBorder="1" applyAlignment="1">
      <alignment horizontal="left"/>
    </xf>
    <xf numFmtId="0" fontId="18" fillId="4" borderId="16" xfId="0" applyFont="1" applyFill="1" applyBorder="1" applyAlignment="1">
      <alignment horizontal="left"/>
    </xf>
    <xf numFmtId="0" fontId="62" fillId="8" borderId="0" xfId="0" applyFont="1" applyFill="1" applyAlignment="1">
      <alignment horizontal="left" vertical="top" wrapText="1"/>
    </xf>
    <xf numFmtId="0" fontId="62" fillId="8" borderId="0" xfId="0" applyFont="1" applyFill="1" applyAlignment="1">
      <alignment horizontal="left" vertical="center" wrapText="1"/>
    </xf>
    <xf numFmtId="0" fontId="20" fillId="0" borderId="0" xfId="0" applyFont="1" applyFill="1" applyBorder="1" applyAlignment="1">
      <alignment wrapText="1"/>
    </xf>
    <xf numFmtId="0" fontId="62" fillId="0" borderId="0" xfId="0" applyFont="1" applyFill="1" applyBorder="1" applyAlignment="1">
      <alignment wrapText="1"/>
    </xf>
    <xf numFmtId="0" fontId="62" fillId="0" borderId="6" xfId="0" applyFont="1" applyFill="1" applyBorder="1" applyAlignment="1">
      <alignment wrapText="1"/>
    </xf>
    <xf numFmtId="0" fontId="62" fillId="0" borderId="1" xfId="0" applyFont="1" applyFill="1" applyBorder="1" applyAlignment="1">
      <alignment wrapText="1"/>
    </xf>
    <xf numFmtId="0" fontId="62" fillId="0" borderId="8" xfId="0" applyFont="1" applyFill="1" applyBorder="1" applyAlignment="1">
      <alignment wrapText="1"/>
    </xf>
    <xf numFmtId="164" fontId="7"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7" fillId="0" borderId="1" xfId="1" applyNumberFormat="1" applyFont="1" applyFill="1" applyBorder="1" applyAlignment="1">
      <alignment horizontal="center"/>
    </xf>
    <xf numFmtId="0" fontId="18" fillId="4" borderId="2" xfId="0" applyFont="1" applyFill="1" applyBorder="1" applyAlignment="1">
      <alignment horizontal="center"/>
    </xf>
    <xf numFmtId="0" fontId="18" fillId="4" borderId="4" xfId="0" applyFont="1" applyFill="1" applyBorder="1" applyAlignment="1">
      <alignment horizontal="center"/>
    </xf>
    <xf numFmtId="0" fontId="18" fillId="3" borderId="14" xfId="0" applyFont="1" applyFill="1" applyBorder="1" applyAlignment="1">
      <alignment horizontal="left"/>
    </xf>
    <xf numFmtId="0" fontId="18" fillId="3" borderId="15" xfId="0" applyFont="1" applyFill="1" applyBorder="1" applyAlignment="1">
      <alignment horizontal="left"/>
    </xf>
    <xf numFmtId="0" fontId="18" fillId="3" borderId="16" xfId="0" applyFont="1" applyFill="1" applyBorder="1" applyAlignment="1">
      <alignment horizontal="left"/>
    </xf>
    <xf numFmtId="0" fontId="8" fillId="0" borderId="0" xfId="0" applyFont="1" applyBorder="1" applyAlignment="1">
      <alignment horizontal="left" wrapText="1"/>
    </xf>
    <xf numFmtId="0" fontId="8" fillId="0" borderId="6" xfId="0" applyFont="1" applyBorder="1" applyAlignment="1">
      <alignment horizontal="left" wrapText="1"/>
    </xf>
    <xf numFmtId="0" fontId="2" fillId="3" borderId="4" xfId="0" applyFont="1" applyFill="1" applyBorder="1" applyAlignment="1">
      <alignment horizontal="center" wrapText="1"/>
    </xf>
    <xf numFmtId="0" fontId="62" fillId="0" borderId="4" xfId="0" applyFont="1" applyBorder="1" applyAlignment="1">
      <alignment wrapText="1"/>
    </xf>
    <xf numFmtId="0" fontId="62" fillId="0" borderId="3" xfId="0" applyFont="1" applyBorder="1" applyAlignment="1">
      <alignment wrapText="1"/>
    </xf>
    <xf numFmtId="0" fontId="8" fillId="0" borderId="0" xfId="0" applyFont="1" applyAlignment="1">
      <alignment wrapText="1"/>
    </xf>
    <xf numFmtId="0" fontId="62" fillId="0" borderId="0" xfId="0" applyFont="1" applyAlignment="1">
      <alignment wrapText="1"/>
    </xf>
    <xf numFmtId="0" fontId="62" fillId="0" borderId="6" xfId="0" applyFont="1" applyBorder="1" applyAlignment="1">
      <alignment wrapText="1"/>
    </xf>
    <xf numFmtId="0" fontId="17" fillId="0" borderId="14" xfId="0" applyFont="1" applyFill="1" applyBorder="1" applyAlignment="1">
      <alignment horizontal="left"/>
    </xf>
    <xf numFmtId="0" fontId="17" fillId="0" borderId="15" xfId="0" applyFont="1" applyFill="1" applyBorder="1" applyAlignment="1">
      <alignment horizontal="left"/>
    </xf>
    <xf numFmtId="0" fontId="17" fillId="0" borderId="16" xfId="0" applyFont="1" applyFill="1" applyBorder="1" applyAlignment="1">
      <alignment horizontal="left"/>
    </xf>
    <xf numFmtId="0" fontId="16" fillId="0" borderId="2" xfId="0" applyFont="1" applyFill="1" applyBorder="1" applyAlignment="1">
      <alignment horizontal="center"/>
    </xf>
    <xf numFmtId="0" fontId="62" fillId="0" borderId="4" xfId="0" applyFont="1" applyFill="1" applyBorder="1" applyAlignment="1">
      <alignment horizontal="center"/>
    </xf>
    <xf numFmtId="0" fontId="16" fillId="0" borderId="4" xfId="0" applyFont="1" applyFill="1" applyBorder="1" applyAlignment="1">
      <alignment horizontal="center"/>
    </xf>
    <xf numFmtId="0" fontId="18" fillId="4" borderId="3" xfId="0" applyFont="1" applyFill="1" applyBorder="1" applyAlignment="1">
      <alignment horizontal="center"/>
    </xf>
    <xf numFmtId="0" fontId="16" fillId="3" borderId="2" xfId="0" applyFont="1" applyFill="1" applyBorder="1" applyAlignment="1">
      <alignment horizontal="center"/>
    </xf>
    <xf numFmtId="164" fontId="7"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7" fillId="0" borderId="0" xfId="1" applyNumberFormat="1" applyFont="1" applyFill="1" applyBorder="1" applyAlignment="1">
      <alignment horizontal="center"/>
    </xf>
    <xf numFmtId="2" fontId="7"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0" fontId="8" fillId="0" borderId="0" xfId="0" applyFont="1" applyFill="1" applyBorder="1" applyAlignment="1">
      <alignment horizontal="center"/>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9" fillId="0" borderId="1" xfId="0" applyFont="1" applyFill="1" applyBorder="1" applyAlignment="1">
      <alignment horizontal="center" wrapText="1"/>
    </xf>
    <xf numFmtId="0" fontId="8" fillId="0" borderId="1" xfId="0" applyFont="1" applyFill="1" applyBorder="1" applyAlignment="1">
      <alignment horizontal="center" wrapText="1"/>
    </xf>
    <xf numFmtId="0" fontId="8" fillId="0" borderId="8" xfId="0" applyFont="1" applyFill="1" applyBorder="1" applyAlignment="1">
      <alignment horizontal="center" wrapText="1"/>
    </xf>
    <xf numFmtId="0" fontId="9" fillId="0" borderId="0"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Fill="1" applyBorder="1" applyAlignment="1">
      <alignment horizontal="center" wrapText="1"/>
    </xf>
    <xf numFmtId="0" fontId="62" fillId="0" borderId="0" xfId="0" applyFont="1" applyFill="1" applyAlignment="1">
      <alignment horizontal="center" vertical="center" wrapText="1"/>
    </xf>
    <xf numFmtId="0" fontId="62" fillId="0" borderId="6" xfId="0" applyFont="1" applyFill="1" applyBorder="1" applyAlignment="1">
      <alignment horizontal="center" vertical="center" wrapText="1"/>
    </xf>
    <xf numFmtId="0" fontId="8" fillId="0" borderId="0" xfId="33" applyFont="1" applyFill="1" applyAlignment="1">
      <alignment horizontal="left" vertical="top" wrapText="1"/>
    </xf>
    <xf numFmtId="0" fontId="18" fillId="4" borderId="2" xfId="0" applyFont="1" applyFill="1" applyBorder="1" applyAlignment="1">
      <alignment horizontal="left"/>
    </xf>
    <xf numFmtId="0" fontId="18" fillId="4" borderId="4" xfId="0" applyFont="1" applyFill="1" applyBorder="1" applyAlignment="1">
      <alignment horizontal="left"/>
    </xf>
    <xf numFmtId="164" fontId="8" fillId="0" borderId="1" xfId="0" applyNumberFormat="1" applyFont="1" applyFill="1" applyBorder="1" applyAlignment="1">
      <alignment horizontal="center" wrapText="1"/>
    </xf>
    <xf numFmtId="164" fontId="8" fillId="0" borderId="1" xfId="1" applyNumberFormat="1" applyFont="1" applyFill="1" applyBorder="1" applyAlignment="1">
      <alignment horizontal="center" wrapText="1"/>
    </xf>
    <xf numFmtId="164" fontId="8" fillId="0" borderId="8" xfId="1" applyNumberFormat="1" applyFont="1" applyFill="1" applyBorder="1" applyAlignment="1">
      <alignment horizontal="center" wrapText="1"/>
    </xf>
    <xf numFmtId="0" fontId="8" fillId="0" borderId="4" xfId="0" applyFont="1" applyBorder="1" applyAlignment="1">
      <alignment horizontal="center" wrapText="1"/>
    </xf>
    <xf numFmtId="0" fontId="8" fillId="0" borderId="3" xfId="0" applyFont="1" applyBorder="1" applyAlignment="1">
      <alignment horizontal="center" wrapText="1"/>
    </xf>
    <xf numFmtId="0" fontId="8" fillId="0" borderId="0" xfId="0" applyFont="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8" fillId="0" borderId="8" xfId="0" applyFont="1" applyBorder="1" applyAlignment="1">
      <alignment horizontal="center" wrapText="1"/>
    </xf>
    <xf numFmtId="0" fontId="2" fillId="0" borderId="0" xfId="0" applyFont="1" applyFill="1" applyBorder="1" applyAlignment="1">
      <alignment horizontal="center" wrapText="1"/>
    </xf>
    <xf numFmtId="3" fontId="8" fillId="0" borderId="0" xfId="0" applyNumberFormat="1" applyFont="1" applyBorder="1" applyAlignment="1">
      <alignment horizontal="left" wrapText="1"/>
    </xf>
    <xf numFmtId="0" fontId="62" fillId="0" borderId="0" xfId="0" applyFont="1" applyBorder="1" applyAlignment="1">
      <alignment wrapText="1"/>
    </xf>
    <xf numFmtId="3" fontId="8" fillId="0" borderId="1" xfId="0" applyNumberFormat="1" applyFont="1" applyBorder="1" applyAlignment="1">
      <alignment horizontal="left" wrapText="1"/>
    </xf>
    <xf numFmtId="0" fontId="62" fillId="0" borderId="1" xfId="0" applyFont="1" applyBorder="1" applyAlignment="1">
      <alignment wrapText="1"/>
    </xf>
    <xf numFmtId="0" fontId="62" fillId="0" borderId="8" xfId="0" applyFont="1" applyBorder="1" applyAlignment="1">
      <alignment wrapText="1"/>
    </xf>
    <xf numFmtId="9" fontId="8" fillId="0" borderId="5" xfId="2" applyFont="1" applyFill="1" applyBorder="1" applyAlignment="1">
      <alignment horizontal="left" wrapText="1" indent="1"/>
    </xf>
    <xf numFmtId="9" fontId="8" fillId="0" borderId="0" xfId="2" applyFont="1" applyFill="1" applyAlignment="1">
      <alignment horizontal="left" wrapText="1" indent="1"/>
    </xf>
    <xf numFmtId="9" fontId="8" fillId="0" borderId="6" xfId="2" applyFont="1" applyFill="1" applyBorder="1" applyAlignment="1">
      <alignment horizontal="left" wrapText="1" indent="1"/>
    </xf>
    <xf numFmtId="0" fontId="8" fillId="0" borderId="1" xfId="0" applyFont="1" applyFill="1" applyBorder="1" applyAlignment="1">
      <alignment horizontal="left" wrapText="1"/>
    </xf>
    <xf numFmtId="0" fontId="8" fillId="0" borderId="8" xfId="0" applyFont="1" applyFill="1" applyBorder="1" applyAlignment="1">
      <alignment horizontal="left" wrapText="1"/>
    </xf>
    <xf numFmtId="0" fontId="1" fillId="0" borderId="0" xfId="35" applyFont="1" applyAlignment="1">
      <alignment horizontal="center"/>
    </xf>
    <xf numFmtId="0" fontId="51" fillId="0" borderId="0" xfId="35" applyFont="1"/>
    <xf numFmtId="168" fontId="65" fillId="0" borderId="0" xfId="29" applyFont="1" applyFill="1" applyBorder="1" applyAlignment="1">
      <alignment horizontal="left"/>
    </xf>
    <xf numFmtId="168" fontId="65" fillId="0" borderId="0" xfId="37" applyFont="1" applyAlignment="1">
      <alignment horizontal="left" vertical="center" wrapText="1"/>
    </xf>
    <xf numFmtId="168" fontId="65" fillId="0" borderId="0" xfId="29" applyFont="1" applyFill="1" applyBorder="1" applyAlignment="1">
      <alignment horizontal="left" vertical="top" wrapText="1"/>
    </xf>
    <xf numFmtId="168" fontId="65" fillId="0" borderId="0" xfId="29" applyFont="1" applyFill="1" applyBorder="1" applyAlignment="1">
      <alignment horizontal="left" wrapText="1"/>
    </xf>
    <xf numFmtId="168" fontId="65" fillId="0" borderId="0" xfId="29" applyFont="1" applyAlignment="1">
      <alignment horizontal="left" vertical="top" wrapText="1"/>
    </xf>
    <xf numFmtId="168" fontId="65" fillId="0" borderId="29" xfId="37" applyFont="1" applyFill="1" applyBorder="1" applyAlignment="1">
      <alignment horizontal="center"/>
    </xf>
    <xf numFmtId="168" fontId="65" fillId="0" borderId="30" xfId="37" applyFont="1" applyFill="1" applyBorder="1" applyAlignment="1">
      <alignment horizontal="center"/>
    </xf>
    <xf numFmtId="168" fontId="65" fillId="0" borderId="32" xfId="37" applyFont="1" applyFill="1" applyBorder="1" applyAlignment="1">
      <alignment horizontal="center"/>
    </xf>
    <xf numFmtId="168" fontId="65" fillId="0" borderId="26" xfId="37" applyFont="1" applyFill="1" applyBorder="1" applyAlignment="1">
      <alignment horizontal="center"/>
    </xf>
    <xf numFmtId="168" fontId="66" fillId="0" borderId="29" xfId="29" applyFont="1" applyBorder="1" applyAlignment="1">
      <alignment horizontal="center"/>
    </xf>
    <xf numFmtId="168" fontId="66" fillId="0" borderId="32" xfId="29" applyFont="1" applyBorder="1" applyAlignment="1">
      <alignment horizontal="center"/>
    </xf>
    <xf numFmtId="168" fontId="66" fillId="0" borderId="33" xfId="29" applyFont="1" applyBorder="1" applyAlignment="1">
      <alignment horizontal="center" wrapText="1"/>
    </xf>
    <xf numFmtId="168" fontId="66" fillId="0" borderId="25" xfId="29" applyFont="1" applyBorder="1" applyAlignment="1">
      <alignment horizontal="center" wrapText="1"/>
    </xf>
    <xf numFmtId="168" fontId="65" fillId="0" borderId="0" xfId="37" applyFont="1" applyAlignment="1">
      <alignment horizontal="left" vertical="top" wrapText="1"/>
    </xf>
    <xf numFmtId="0" fontId="65" fillId="0" borderId="0" xfId="0" applyFont="1" applyFill="1" applyBorder="1" applyAlignment="1">
      <alignment horizontal="center"/>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2" fillId="0" borderId="5" xfId="0" applyFont="1" applyBorder="1" applyAlignment="1">
      <alignment horizontal="center" wrapText="1"/>
    </xf>
    <xf numFmtId="0" fontId="12" fillId="0" borderId="6" xfId="0" applyFont="1" applyBorder="1" applyAlignment="1">
      <alignment horizontal="center" wrapText="1"/>
    </xf>
    <xf numFmtId="0" fontId="14" fillId="0" borderId="5" xfId="5" applyFont="1" applyBorder="1" applyAlignment="1">
      <alignment horizontal="left" wrapText="1"/>
    </xf>
    <xf numFmtId="0" fontId="14" fillId="0" borderId="6" xfId="5" applyFont="1" applyBorder="1" applyAlignment="1">
      <alignment horizontal="left" wrapText="1"/>
    </xf>
    <xf numFmtId="0" fontId="0" fillId="0" borderId="0" xfId="0" applyAlignment="1">
      <alignment horizontal="center"/>
    </xf>
    <xf numFmtId="0" fontId="65" fillId="0" borderId="0" xfId="33" applyNumberFormat="1" applyFont="1" applyFill="1" applyAlignment="1">
      <alignment horizontal="left" vertical="top" wrapText="1"/>
    </xf>
    <xf numFmtId="0" fontId="68" fillId="0" borderId="0" xfId="33" applyNumberFormat="1" applyFont="1" applyFill="1" applyAlignment="1">
      <alignment horizontal="left" vertical="top" wrapText="1"/>
    </xf>
    <xf numFmtId="0" fontId="66" fillId="9" borderId="22" xfId="28" applyFont="1" applyFill="1" applyBorder="1" applyAlignment="1">
      <alignment horizontal="center"/>
    </xf>
    <xf numFmtId="0" fontId="66" fillId="9" borderId="21" xfId="28" applyFont="1" applyFill="1" applyBorder="1" applyAlignment="1">
      <alignment horizontal="center"/>
    </xf>
    <xf numFmtId="0" fontId="66" fillId="9" borderId="24" xfId="28" applyFont="1" applyFill="1" applyBorder="1" applyAlignment="1">
      <alignment horizontal="center"/>
    </xf>
    <xf numFmtId="168" fontId="66" fillId="9" borderId="22" xfId="58" applyFont="1" applyFill="1" applyBorder="1" applyAlignment="1">
      <alignment horizontal="center"/>
    </xf>
    <xf numFmtId="0" fontId="0" fillId="0" borderId="21" xfId="0" applyBorder="1" applyAlignment="1">
      <alignment horizontal="center"/>
    </xf>
    <xf numFmtId="168" fontId="66" fillId="0" borderId="0" xfId="27" applyFont="1" applyFill="1" applyAlignment="1">
      <alignment horizontal="center"/>
    </xf>
    <xf numFmtId="168" fontId="65" fillId="0" borderId="0" xfId="27" applyFont="1" applyAlignment="1">
      <alignment horizontal="left" vertical="center" wrapText="1"/>
    </xf>
    <xf numFmtId="168" fontId="65" fillId="0" borderId="0" xfId="27" applyFont="1" applyFill="1" applyAlignment="1">
      <alignment horizontal="left" vertical="center" wrapText="1"/>
    </xf>
    <xf numFmtId="0" fontId="0" fillId="0" borderId="24" xfId="0" applyBorder="1" applyAlignment="1"/>
    <xf numFmtId="0" fontId="0" fillId="0" borderId="24" xfId="0" applyBorder="1" applyAlignment="1">
      <alignment horizontal="center"/>
    </xf>
    <xf numFmtId="0" fontId="66" fillId="9" borderId="14" xfId="28"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66" fillId="9" borderId="15" xfId="28" applyFont="1" applyFill="1" applyBorder="1" applyAlignment="1">
      <alignment horizontal="center"/>
    </xf>
    <xf numFmtId="0" fontId="66" fillId="9" borderId="16" xfId="28" applyFont="1" applyFill="1" applyBorder="1" applyAlignment="1">
      <alignment horizontal="center"/>
    </xf>
    <xf numFmtId="0" fontId="0" fillId="0" borderId="15" xfId="0" applyBorder="1" applyAlignment="1"/>
    <xf numFmtId="0" fontId="1" fillId="0" borderId="0" xfId="5" applyFont="1" applyFill="1" applyAlignment="1">
      <alignment horizontal="center"/>
    </xf>
    <xf numFmtId="168" fontId="3" fillId="0" borderId="0" xfId="37" applyFont="1" applyFill="1" applyAlignment="1">
      <alignment horizontal="center"/>
    </xf>
    <xf numFmtId="0" fontId="9" fillId="0" borderId="0" xfId="5" applyFont="1" applyAlignment="1">
      <alignment horizontal="center"/>
    </xf>
    <xf numFmtId="0" fontId="42" fillId="0" borderId="0" xfId="0" applyFont="1" applyAlignment="1">
      <alignment horizontal="center"/>
    </xf>
    <xf numFmtId="0" fontId="92" fillId="0" borderId="0" xfId="5" applyFont="1" applyAlignment="1">
      <alignment horizontal="center"/>
    </xf>
    <xf numFmtId="0" fontId="98" fillId="0" borderId="0" xfId="0" applyFont="1" applyAlignment="1">
      <alignment horizontal="center"/>
    </xf>
  </cellXfs>
  <cellStyles count="173">
    <cellStyle name="Comma" xfId="50" builtinId="3"/>
    <cellStyle name="Comma [0] 3 2" xfId="42" xr:uid="{EC5EA9AE-B745-47C8-AFE6-56FBEE149A5C}"/>
    <cellStyle name="Comma [0] 3 2 2" xfId="45" xr:uid="{36FED332-A54D-4C01-AB73-D6D936DA350F}"/>
    <cellStyle name="Comma 10 10 2" xfId="169" xr:uid="{6BD4394A-564E-4767-82AD-A22E06EA9759}"/>
    <cellStyle name="Comma 10 11" xfId="8" xr:uid="{00000000-0005-0000-0000-000000000000}"/>
    <cellStyle name="Comma 11 5" xfId="20" xr:uid="{00000000-0005-0000-0000-000001000000}"/>
    <cellStyle name="Comma 12 3" xfId="39" xr:uid="{793204FC-3948-4602-94EC-98AD7FF36119}"/>
    <cellStyle name="Comma 12 3 3" xfId="47" xr:uid="{08107E8A-72FB-4847-8156-800256E9A81A}"/>
    <cellStyle name="Comma 13" xfId="145" xr:uid="{93391D93-C156-44D1-8940-46A6DABCF3C8}"/>
    <cellStyle name="Comma 13 2" xfId="41" xr:uid="{5CEED328-A282-48CB-8341-E0C6B014E7B0}"/>
    <cellStyle name="Comma 2" xfId="9" xr:uid="{00000000-0005-0000-0000-000002000000}"/>
    <cellStyle name="Comma 2 10" xfId="11" xr:uid="{00000000-0005-0000-0000-000003000000}"/>
    <cellStyle name="Comma 202" xfId="70" xr:uid="{3A4AACEB-BD8C-4DDE-BDDF-B85B03D58B55}"/>
    <cellStyle name="Comma 204 2" xfId="68" xr:uid="{4C192BCA-A7DB-4F43-A404-AE981DDBFC69}"/>
    <cellStyle name="Comma 23" xfId="18" xr:uid="{00000000-0005-0000-0000-000004000000}"/>
    <cellStyle name="Comma 250" xfId="26" xr:uid="{00000000-0005-0000-0000-000005000000}"/>
    <cellStyle name="Comma 3" xfId="153" xr:uid="{90CEACF5-94F4-4ECF-9781-6DF475E855B4}"/>
    <cellStyle name="Comma 3 2 2 2" xfId="164" xr:uid="{F62E9799-D518-4206-8C1C-57C2CAF63F7E}"/>
    <cellStyle name="Comma 4" xfId="1" xr:uid="{00000000-0005-0000-0000-000006000000}"/>
    <cellStyle name="Comma 4 2 2" xfId="4" xr:uid="{00000000-0005-0000-0000-000007000000}"/>
    <cellStyle name="Comma 4 3" xfId="163" xr:uid="{BB0AC379-BC8E-44BA-B5F3-2902CC1F40D1}"/>
    <cellStyle name="Comma 5" xfId="168" xr:uid="{F0F7F37F-DEE0-47BF-BF0D-8EB126253465}"/>
    <cellStyle name="Comma 94" xfId="93" xr:uid="{31F9AFAC-5C0D-43D5-BA41-0B1249F04827}"/>
    <cellStyle name="Currency" xfId="48" builtinId="4"/>
    <cellStyle name="Currency 102 2" xfId="66" xr:uid="{B2027717-BECC-4B82-B03D-AE282B997F39}"/>
    <cellStyle name="Currency 114" xfId="24" xr:uid="{00000000-0005-0000-0000-000008000000}"/>
    <cellStyle name="Currency 115 2" xfId="61" xr:uid="{248496BE-8401-41B1-97C1-33F262328C1D}"/>
    <cellStyle name="Currency 2" xfId="10" xr:uid="{00000000-0005-0000-0000-000009000000}"/>
    <cellStyle name="Currency 2 10" xfId="62" xr:uid="{B8E7765C-F23D-40BB-AEAE-1418B11CDBC9}"/>
    <cellStyle name="Currency 3" xfId="6" xr:uid="{00000000-0005-0000-0000-00000A000000}"/>
    <cellStyle name="Currency 3 2" xfId="160" xr:uid="{7D385535-18F6-4CA2-AA46-19322B358BFC}"/>
    <cellStyle name="Normal" xfId="0" builtinId="0"/>
    <cellStyle name="Normal - Style1 5" xfId="64" xr:uid="{B4A35AC0-40A5-4B53-92FB-8EF9644159A7}"/>
    <cellStyle name="Normal 10" xfId="167" xr:uid="{123E524E-92CD-4B98-9507-A08DF2355976}"/>
    <cellStyle name="Normal 10 2" xfId="16" xr:uid="{00000000-0005-0000-0000-00000C000000}"/>
    <cellStyle name="Normal 10 2 2" xfId="19" xr:uid="{00000000-0005-0000-0000-00000D000000}"/>
    <cellStyle name="Normal 10 2 2 2 2 2 2" xfId="150" xr:uid="{64FC8B2C-8BA9-4388-94BF-7ED4AB14C17C}"/>
    <cellStyle name="Normal 10 3" xfId="37" xr:uid="{7EE115DD-BC38-4A41-A835-2AD5997A445A}"/>
    <cellStyle name="Normal 10 3 7" xfId="60" xr:uid="{8946D956-3B3F-4C11-AFA5-77B0D2298F3B}"/>
    <cellStyle name="Normal 11" xfId="156" xr:uid="{7BDDC2A8-6AA1-458E-A8E5-41AE8AB44F53}"/>
    <cellStyle name="Normal 12 2" xfId="36" xr:uid="{B1EA86CD-76E8-421C-8A01-BA953F82EBAC}"/>
    <cellStyle name="Normal 12 2 2 2" xfId="46" xr:uid="{A13903E3-6D80-4FD0-AB69-10F6BB18A7DC}"/>
    <cellStyle name="Normal 12 2 3" xfId="44" xr:uid="{3F66D6ED-5287-4072-AC52-B4E08CD80373}"/>
    <cellStyle name="Normal 13 2" xfId="40" xr:uid="{6EBB980F-74AF-4023-9F9F-9BF1F5EC05C9}"/>
    <cellStyle name="Normal 150 2" xfId="65" xr:uid="{A74945D3-B01D-49BA-988C-8485FB78EA18}"/>
    <cellStyle name="Normal 151 2" xfId="63" xr:uid="{9D80449F-4C35-486C-9B2A-35E59CB0C760}"/>
    <cellStyle name="Normal 154" xfId="51" xr:uid="{9B612339-0E2D-4D29-BD23-05CC0422BA07}"/>
    <cellStyle name="Normal 155" xfId="73" xr:uid="{390F1241-90F4-49F6-8F6C-2B6AB0838E2D}"/>
    <cellStyle name="Normal 157" xfId="76" xr:uid="{899FBCA5-625A-4AA8-B731-99115FF5D05D}"/>
    <cellStyle name="Normal 158" xfId="77" xr:uid="{12880B0A-FC40-4F05-9AEB-EFF13EF69132}"/>
    <cellStyle name="Normal 159" xfId="78" xr:uid="{27DD747B-411F-409D-8453-BCE830254AA9}"/>
    <cellStyle name="Normal 16 2" xfId="43" xr:uid="{D920D4DF-0ABE-43AB-9547-A69509A4DC36}"/>
    <cellStyle name="Normal 160" xfId="79" xr:uid="{CAB0A9B9-8108-4517-9F5F-95145B04B534}"/>
    <cellStyle name="Normal 161" xfId="80" xr:uid="{43AFCAFB-50F2-4B68-9B5A-441D2C556792}"/>
    <cellStyle name="Normal 173" xfId="75" xr:uid="{9CC58BCA-FAC5-42CC-8383-F42F76BBDB73}"/>
    <cellStyle name="Normal 2" xfId="5" xr:uid="{00000000-0005-0000-0000-00000E000000}"/>
    <cellStyle name="Normal 2 10" xfId="7" xr:uid="{00000000-0005-0000-0000-00000F000000}"/>
    <cellStyle name="Normal 2 10 2 2 2" xfId="146" xr:uid="{7060F6CD-1E22-4BE3-B8DF-6910592428C0}"/>
    <cellStyle name="Normal 2 2" xfId="57" xr:uid="{B08F26E5-48BE-4E7E-BFEE-6F0CFAFD4D8E}"/>
    <cellStyle name="Normal 2 3" xfId="161" xr:uid="{4E5A0ACE-1076-4CAB-BA52-D3A73D90FCA5}"/>
    <cellStyle name="Normal 216" xfId="94" xr:uid="{9F107082-F9AE-4C0B-8494-B7B880DB02FE}"/>
    <cellStyle name="Normal 218" xfId="69" xr:uid="{6D9A54FF-1202-4662-BBAB-03E0D6D8ADFB}"/>
    <cellStyle name="Normal 227" xfId="148" xr:uid="{8ABAE285-02EE-47D4-85A8-9A5FC4D7C841}"/>
    <cellStyle name="Normal 253" xfId="23" xr:uid="{00000000-0005-0000-0000-000010000000}"/>
    <cellStyle name="Normal 254" xfId="25" xr:uid="{00000000-0005-0000-0000-000011000000}"/>
    <cellStyle name="Normal 255" xfId="72" xr:uid="{14072940-B50F-4616-A634-7D19051FE473}"/>
    <cellStyle name="Normal 258" xfId="81" xr:uid="{3FE87C1C-30E6-4FA8-9CE5-8727E334092E}"/>
    <cellStyle name="Normal 259" xfId="82" xr:uid="{0A373C13-BA6A-4804-A34B-679780A15ED0}"/>
    <cellStyle name="Normal 260" xfId="83" xr:uid="{10F1F00F-3F2D-4AA5-B335-72282A580444}"/>
    <cellStyle name="Normal 261" xfId="84" xr:uid="{A13605FD-045E-4E59-8358-87A66942A29C}"/>
    <cellStyle name="Normal 262" xfId="85" xr:uid="{09C0D646-19AA-4F3F-B7F3-8466443868F6}"/>
    <cellStyle name="Normal 263" xfId="86" xr:uid="{01375633-9C12-4F19-9743-5812728FA639}"/>
    <cellStyle name="Normal 264" xfId="87" xr:uid="{93DFA91D-E425-4EA7-B74F-457387F8F982}"/>
    <cellStyle name="Normal 265" xfId="88" xr:uid="{B418CDD6-1965-48EB-B375-9711027D00A3}"/>
    <cellStyle name="Normal 266" xfId="89" xr:uid="{040EDF12-9CC1-4510-B791-81B31EF72532}"/>
    <cellStyle name="Normal 267" xfId="90" xr:uid="{6229370D-0D3D-4130-AE3C-0FED6DE8D352}"/>
    <cellStyle name="Normal 268" xfId="91" xr:uid="{31EC1CB6-8363-480E-8F47-83B25A2260E6}"/>
    <cellStyle name="Normal 269" xfId="92" xr:uid="{3C1FF2B1-8188-4C21-A3AD-B24667970E98}"/>
    <cellStyle name="Normal 270" xfId="96" xr:uid="{4674BE3A-1929-47D6-8202-444E0B8C4ED8}"/>
    <cellStyle name="Normal 272" xfId="97" xr:uid="{0251185D-FAE1-4BC9-811A-734C0FC51A37}"/>
    <cellStyle name="Normal 273" xfId="74" xr:uid="{9306007C-9FFB-473D-94E7-36F287FACBC0}"/>
    <cellStyle name="Normal 274" xfId="98" xr:uid="{62826214-A792-472C-BDAA-5EE78EA7181A}"/>
    <cellStyle name="Normal 275" xfId="99" xr:uid="{91312869-EC08-4742-8915-40C945846CAA}"/>
    <cellStyle name="Normal 276" xfId="100" xr:uid="{794849A4-40A7-43F3-B1A2-A7AD33E772DA}"/>
    <cellStyle name="Normal 277" xfId="101" xr:uid="{908A0A4D-B974-4D9E-97AB-53CC8095C046}"/>
    <cellStyle name="Normal 278" xfId="102" xr:uid="{FB7DE139-5411-4B7E-9E9D-FD8784E57852}"/>
    <cellStyle name="Normal 279" xfId="103" xr:uid="{236BF631-03D4-4A21-976A-564FC2BD0166}"/>
    <cellStyle name="Normal 280" xfId="104" xr:uid="{229DB3EE-ECDC-4F46-9F57-228341195044}"/>
    <cellStyle name="Normal 281" xfId="105" xr:uid="{F46FAFF1-94C5-4E5D-8AAB-89E389307965}"/>
    <cellStyle name="Normal 282" xfId="106" xr:uid="{57BD1F48-322C-435E-8802-8A02F11C3E79}"/>
    <cellStyle name="Normal 283" xfId="109" xr:uid="{616826B4-0D16-4404-8086-BA3D901B983C}"/>
    <cellStyle name="Normal 284" xfId="107" xr:uid="{216F5F47-276E-420F-B867-9CCE9B13F9D8}"/>
    <cellStyle name="Normal 285" xfId="108" xr:uid="{AFD8D45A-D5C7-4DD1-B879-67C296A9740C}"/>
    <cellStyle name="Normal 286" xfId="110" xr:uid="{04AA2DC1-2032-461B-8FA7-AB535F99E3B3}"/>
    <cellStyle name="Normal 291" xfId="111" xr:uid="{DEEAB593-2D83-4E79-ACF9-264CA16A475C}"/>
    <cellStyle name="Normal 292" xfId="112" xr:uid="{F08DDA87-DCCD-464F-9B50-EB3B2397B385}"/>
    <cellStyle name="Normal 293" xfId="114" xr:uid="{976E8FB2-7632-43EF-BAFD-64F5BD8B3F12}"/>
    <cellStyle name="Normal 294" xfId="115" xr:uid="{DADF31EB-EE3D-482F-B9BA-74CBCCFD6A87}"/>
    <cellStyle name="Normal 295" xfId="116" xr:uid="{95324DB3-E9FB-474A-8848-1AC8D1D34B12}"/>
    <cellStyle name="Normal 296" xfId="117" xr:uid="{729E9B7B-72B3-489F-98C1-20E4D0436547}"/>
    <cellStyle name="Normal 297" xfId="118" xr:uid="{A4D57C30-85F9-48B8-A892-5FCA5B56A17E}"/>
    <cellStyle name="Normal 298" xfId="120" xr:uid="{81E99399-8607-4120-A761-97048B23BAB1}"/>
    <cellStyle name="Normal 3" xfId="22" xr:uid="{00000000-0005-0000-0000-000012000000}"/>
    <cellStyle name="Normal 3 2" xfId="35" xr:uid="{99F8AE8C-05F2-490A-A25C-6008C9A4EA1B}"/>
    <cellStyle name="Normal 3 3" xfId="56" xr:uid="{A9628838-9A52-4CCC-A869-45E6B0DC1BAA}"/>
    <cellStyle name="Normal 3_Attach O, GG, Support -New Method 2-14-11" xfId="33" xr:uid="{A98F5369-1071-44F5-B789-FF6BABDA384D}"/>
    <cellStyle name="Normal 301" xfId="123" xr:uid="{32D8D07B-82DF-4A28-82A6-E58685CD6928}"/>
    <cellStyle name="Normal 302" xfId="119" xr:uid="{8B3DB0C9-5915-401F-92CA-EF94B1B9B584}"/>
    <cellStyle name="Normal 303" xfId="121" xr:uid="{84635B33-FE6C-4A30-9E77-AAC4D635B959}"/>
    <cellStyle name="Normal 304" xfId="122" xr:uid="{9E328DBD-AB3C-41ED-9A43-39D57D8DE382}"/>
    <cellStyle name="Normal 307" xfId="124" xr:uid="{F46299DD-AE97-4091-AC80-13BB3B54002D}"/>
    <cellStyle name="Normal 308" xfId="125" xr:uid="{E9F1F483-0856-4253-B03A-1B982BC4A617}"/>
    <cellStyle name="Normal 310" xfId="126" xr:uid="{080AE531-2674-4F18-9447-9E86FB15F246}"/>
    <cellStyle name="Normal 311" xfId="127" xr:uid="{9B1963BF-C6A9-4A69-BACE-FB358018EC6A}"/>
    <cellStyle name="Normal 312" xfId="128" xr:uid="{E6427BD9-E68D-497C-80B0-734546ED8C01}"/>
    <cellStyle name="Normal 313" xfId="129" xr:uid="{49329C41-069E-42A5-9EA7-0015A56B68C9}"/>
    <cellStyle name="Normal 314" xfId="130" xr:uid="{8B3A6F2C-FF29-4994-998E-54BD6B136B7F}"/>
    <cellStyle name="Normal 315" xfId="131" xr:uid="{EAD5F534-D7F5-4A33-A4CA-E3918BFB3FD1}"/>
    <cellStyle name="Normal 316" xfId="132" xr:uid="{DCB78C98-8D74-49D9-9C82-CBD30620BF98}"/>
    <cellStyle name="Normal 318" xfId="133" xr:uid="{2F283C00-AFCB-4758-867E-3FC125EC31F7}"/>
    <cellStyle name="Normal 319" xfId="134" xr:uid="{608D6B30-CB30-4BDD-BF98-6A4E01C84CE2}"/>
    <cellStyle name="Normal 322" xfId="135" xr:uid="{EBF88B40-87B2-474F-BF40-D948DB72CB3A}"/>
    <cellStyle name="Normal 323" xfId="136" xr:uid="{170BC3FC-342F-40EB-B22E-825049BB6BE4}"/>
    <cellStyle name="Normal 324" xfId="137" xr:uid="{604C0C84-ECE2-4150-80E5-1F286F4A598C}"/>
    <cellStyle name="Normal 325" xfId="138" xr:uid="{8F225383-70F0-428D-BD7D-EF8516E05291}"/>
    <cellStyle name="Normal 326" xfId="139" xr:uid="{4E8E114E-F856-4368-8249-92CF726557B5}"/>
    <cellStyle name="Normal 327" xfId="140" xr:uid="{8F28B5EF-A267-48A6-8FEC-1BEDE9E3E88C}"/>
    <cellStyle name="Normal 328" xfId="141" xr:uid="{009DA125-3F8C-4267-B832-0F2406EDD65A}"/>
    <cellStyle name="Normal 329" xfId="142" xr:uid="{E9B2805A-F3F8-47A5-AB63-210D9137369F}"/>
    <cellStyle name="Normal 330" xfId="143" xr:uid="{FA0BC58C-0DF1-4064-9ECF-4B7AF54B4405}"/>
    <cellStyle name="Normal 332" xfId="113" xr:uid="{19C67990-A026-4BCC-A7FD-FDD2E3EE3AA6}"/>
    <cellStyle name="Normal 4" xfId="27" xr:uid="{B697ADF7-9665-47A6-A433-57C5A4664A4C}"/>
    <cellStyle name="Normal 4 22 2" xfId="58" xr:uid="{F9CE5AA6-8F32-4710-BE7E-7C7AB769A92B}"/>
    <cellStyle name="Normal 5" xfId="32" xr:uid="{ABEF3B4C-7566-4705-A3E6-4EE55CD213A7}"/>
    <cellStyle name="Normal 5 10" xfId="59" xr:uid="{0A548DCF-D9FB-4463-8728-E09F8AEC0420}"/>
    <cellStyle name="Normal 5 60" xfId="154" xr:uid="{B016BD67-61A2-4FBD-9ECB-7C4C20EC1C71}"/>
    <cellStyle name="Normal 6" xfId="144" xr:uid="{D256F818-538F-4052-9CF8-E4428465FBAC}"/>
    <cellStyle name="Normal 6 12" xfId="165" xr:uid="{B895575C-308B-455D-92D3-BFE2C4E0FE63}"/>
    <cellStyle name="Normal 7" xfId="29" xr:uid="{D5B5E0E3-DC2B-44D9-8A11-A6C8C1AD539A}"/>
    <cellStyle name="Normal 8" xfId="149" xr:uid="{56776621-D035-4D92-8F56-61856F74D484}"/>
    <cellStyle name="Normal 8 2" xfId="157" xr:uid="{A03D02E8-907A-4732-8C31-D093727890BD}"/>
    <cellStyle name="Normal 8 3" xfId="158" xr:uid="{EFBE19A8-4C97-442B-90D9-0747A9F03F32}"/>
    <cellStyle name="Normal 8 4" xfId="170" xr:uid="{4943B3FB-24A4-473D-8FA1-1AAC999AA45D}"/>
    <cellStyle name="Normal 9" xfId="159" xr:uid="{EB28C26F-E506-4AB9-AA13-63316EADC5E7}"/>
    <cellStyle name="Normal 9 2" xfId="166" xr:uid="{89C049DB-917A-4031-A440-03A827B428C7}"/>
    <cellStyle name="Normal 9 3" xfId="172" xr:uid="{E695AD97-7034-43D8-9EFC-6033D7CF2D41}"/>
    <cellStyle name="Normal 9 4" xfId="171" xr:uid="{16D53743-49D0-4869-B1CE-9D3D4B8C6FD0}"/>
    <cellStyle name="Normal_1995 FCWS" xfId="13" xr:uid="{00000000-0005-0000-0000-000013000000}"/>
    <cellStyle name="Normal_21 Exh B" xfId="31" xr:uid="{E637EC89-4F75-46C0-8A30-734C3B82DD3C}"/>
    <cellStyle name="Normal_A" xfId="151" xr:uid="{8AE7C0E9-7D53-49DE-8C4E-839574C0B585}"/>
    <cellStyle name="Normal_ATC Projected 2008 Monthly Plant Balances for Attachment O 2 (2)" xfId="34" xr:uid="{5128B2CE-F3BA-485E-96A3-83A8E94DF1A1}"/>
    <cellStyle name="Normal_Attachment GG Example 8 26 09" xfId="53" xr:uid="{EEE6A2A1-B928-41C0-96E8-909E360409DE}"/>
    <cellStyle name="Normal_Attachment GG Template ER11-28 11-18-10" xfId="52" xr:uid="{585443FF-1015-471D-BADF-E86BA0A38E8A}"/>
    <cellStyle name="Normal_Attachment O Support - 2004 True-up" xfId="54" xr:uid="{D3CCB4BA-1A55-4757-BBF4-8EA6755AD0EA}"/>
    <cellStyle name="Normal_Attachment Os for 2002 True-up" xfId="30" xr:uid="{59FE44BD-152E-40FC-A9EF-F4260F38E47C}"/>
    <cellStyle name="Normal_FN1 Ratebase Draft SPP template (6-11-04) v2" xfId="21" xr:uid="{00000000-0005-0000-0000-000014000000}"/>
    <cellStyle name="Normal_interest calc Book1" xfId="55" xr:uid="{09A44AD0-5449-4A62-859C-2E66FEB484AA}"/>
    <cellStyle name="Normal_Red Line and Clean Copy 5-5-2010 populated attachment 9 and supplement (2)" xfId="152" xr:uid="{784F00CF-1F83-494E-ABA6-3995AD6C9434}"/>
    <cellStyle name="Normal_Schedule O Info for Mike" xfId="28" xr:uid="{D429D4BE-27AC-4EE5-B08E-4DF2596DF515}"/>
    <cellStyle name="Normal_TrAILCo attach 6 &amp; 7 and Appendix A" xfId="3" xr:uid="{00000000-0005-0000-0000-000015000000}"/>
    <cellStyle name="Normal_Transmission Property Taxes 2" xfId="14" xr:uid="{00000000-0005-0000-0000-000016000000}"/>
    <cellStyle name="Normal_Transmission Property Taxes 2 2" xfId="15" xr:uid="{00000000-0005-0000-0000-000017000000}"/>
    <cellStyle name="Percent" xfId="49" builtinId="5"/>
    <cellStyle name="Percent 10" xfId="147" xr:uid="{48A8448C-DDC7-474B-B1EE-49D4EC2AE1E4}"/>
    <cellStyle name="Percent 109" xfId="71" xr:uid="{9B409385-2AB3-4193-80CE-6A71A999EC08}"/>
    <cellStyle name="Percent 110 2" xfId="67" xr:uid="{BBBA8DF2-D622-4B90-AEF1-180A911E59CB}"/>
    <cellStyle name="Percent 2" xfId="12" xr:uid="{00000000-0005-0000-0000-000018000000}"/>
    <cellStyle name="Percent 2 10" xfId="155" xr:uid="{F0088B70-972B-4855-AED6-0FCB95D50778}"/>
    <cellStyle name="Percent 2 2" xfId="162" xr:uid="{0A9F54A2-ECE1-4B30-9A1E-D35232C68FFA}"/>
    <cellStyle name="Percent 24" xfId="17" xr:uid="{00000000-0005-0000-0000-000019000000}"/>
    <cellStyle name="Percent 3 2" xfId="2" xr:uid="{00000000-0005-0000-0000-00001A000000}"/>
    <cellStyle name="Percent 38" xfId="95" xr:uid="{2E8E0232-E2B5-4A2E-BDF3-C7F154FDB518}"/>
    <cellStyle name="Percent 9 2 2" xfId="38"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22" Type="http://schemas.openxmlformats.org/officeDocument/2006/relationships/worksheet" Target="worksheets/sheet22.xml"/><Relationship Id="rId27" Type="http://schemas.openxmlformats.org/officeDocument/2006/relationships/externalLink" Target="externalLinks/externalLink2.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59" Type="http://schemas.openxmlformats.org/officeDocument/2006/relationships/externalLink" Target="externalLinks/externalLink34.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24" Type="http://schemas.openxmlformats.org/officeDocument/2006/relationships/theme" Target="theme/theme1.xml"/><Relationship Id="rId54" Type="http://schemas.openxmlformats.org/officeDocument/2006/relationships/externalLink" Target="externalLinks/externalLink29.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3.xml"/><Relationship Id="rId49" Type="http://schemas.openxmlformats.org/officeDocument/2006/relationships/externalLink" Target="externalLinks/externalLink24.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44" Type="http://schemas.openxmlformats.org/officeDocument/2006/relationships/externalLink" Target="externalLinks/externalLink19.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1.xml"/><Relationship Id="rId67" Type="http://schemas.openxmlformats.org/officeDocument/2006/relationships/externalLink" Target="externalLinks/externalLink42.xml"/><Relationship Id="rId116" Type="http://schemas.openxmlformats.org/officeDocument/2006/relationships/externalLink" Target="externalLinks/externalLink91.xml"/><Relationship Id="rId20" Type="http://schemas.openxmlformats.org/officeDocument/2006/relationships/worksheet" Target="worksheets/sheet20.xml"/><Relationship Id="rId41" Type="http://schemas.openxmlformats.org/officeDocument/2006/relationships/externalLink" Target="externalLinks/externalLink16.xml"/><Relationship Id="rId62" Type="http://schemas.openxmlformats.org/officeDocument/2006/relationships/externalLink" Target="externalLinks/externalLink37.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111" Type="http://schemas.openxmlformats.org/officeDocument/2006/relationships/externalLink" Target="externalLinks/externalLink86.xml"/><Relationship Id="rId15" Type="http://schemas.openxmlformats.org/officeDocument/2006/relationships/worksheet" Target="worksheets/sheet15.xml"/><Relationship Id="rId36" Type="http://schemas.openxmlformats.org/officeDocument/2006/relationships/externalLink" Target="externalLinks/externalLink11.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6.xml"/><Relationship Id="rId52" Type="http://schemas.openxmlformats.org/officeDocument/2006/relationships/externalLink" Target="externalLinks/externalLink27.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76970</xdr:colOff>
      <xdr:row>33</xdr:row>
      <xdr:rowOff>102448</xdr:rowOff>
    </xdr:from>
    <xdr:to>
      <xdr:col>16</xdr:col>
      <xdr:colOff>240530</xdr:colOff>
      <xdr:row>69</xdr:row>
      <xdr:rowOff>123420</xdr:rowOff>
    </xdr:to>
    <xdr:pic>
      <xdr:nvPicPr>
        <xdr:cNvPr id="4" name="Picture 3">
          <a:extLst>
            <a:ext uri="{FF2B5EF4-FFF2-40B4-BE49-F238E27FC236}">
              <a16:creationId xmlns:a16="http://schemas.microsoft.com/office/drawing/2014/main" id="{8B91B586-E798-417E-8498-75E6CF2176DF}"/>
            </a:ext>
          </a:extLst>
        </xdr:cNvPr>
        <xdr:cNvPicPr>
          <a:picLocks noChangeAspect="1"/>
        </xdr:cNvPicPr>
      </xdr:nvPicPr>
      <xdr:blipFill>
        <a:blip xmlns:r="http://schemas.openxmlformats.org/officeDocument/2006/relationships" r:embed="rId1"/>
        <a:stretch>
          <a:fillRect/>
        </a:stretch>
      </xdr:blipFill>
      <xdr:spPr>
        <a:xfrm>
          <a:off x="76970" y="6019493"/>
          <a:ext cx="12719242" cy="5947639"/>
        </a:xfrm>
        <a:prstGeom prst="rect">
          <a:avLst/>
        </a:prstGeom>
      </xdr:spPr>
    </xdr:pic>
    <xdr:clientData/>
  </xdr:twoCellAnchor>
  <xdr:twoCellAnchor editAs="oneCell">
    <xdr:from>
      <xdr:col>0</xdr:col>
      <xdr:colOff>48106</xdr:colOff>
      <xdr:row>70</xdr:row>
      <xdr:rowOff>105834</xdr:rowOff>
    </xdr:from>
    <xdr:to>
      <xdr:col>16</xdr:col>
      <xdr:colOff>246619</xdr:colOff>
      <xdr:row>112</xdr:row>
      <xdr:rowOff>16726</xdr:rowOff>
    </xdr:to>
    <xdr:pic>
      <xdr:nvPicPr>
        <xdr:cNvPr id="5" name="Picture 4">
          <a:extLst>
            <a:ext uri="{FF2B5EF4-FFF2-40B4-BE49-F238E27FC236}">
              <a16:creationId xmlns:a16="http://schemas.microsoft.com/office/drawing/2014/main" id="{EF329A0E-614E-4D02-A6EB-33F27A082E66}"/>
            </a:ext>
          </a:extLst>
        </xdr:cNvPr>
        <xdr:cNvPicPr>
          <a:picLocks noChangeAspect="1"/>
        </xdr:cNvPicPr>
      </xdr:nvPicPr>
      <xdr:blipFill>
        <a:blip xmlns:r="http://schemas.openxmlformats.org/officeDocument/2006/relationships" r:embed="rId2"/>
        <a:stretch>
          <a:fillRect/>
        </a:stretch>
      </xdr:blipFill>
      <xdr:spPr>
        <a:xfrm>
          <a:off x="48106" y="12122728"/>
          <a:ext cx="12754195" cy="6915134"/>
        </a:xfrm>
        <a:prstGeom prst="rect">
          <a:avLst/>
        </a:prstGeom>
      </xdr:spPr>
    </xdr:pic>
    <xdr:clientData/>
  </xdr:twoCellAnchor>
  <xdr:twoCellAnchor editAs="oneCell">
    <xdr:from>
      <xdr:col>0</xdr:col>
      <xdr:colOff>914690</xdr:colOff>
      <xdr:row>112</xdr:row>
      <xdr:rowOff>19809</xdr:rowOff>
    </xdr:from>
    <xdr:to>
      <xdr:col>16</xdr:col>
      <xdr:colOff>327121</xdr:colOff>
      <xdr:row>141</xdr:row>
      <xdr:rowOff>95312</xdr:rowOff>
    </xdr:to>
    <xdr:pic>
      <xdr:nvPicPr>
        <xdr:cNvPr id="6" name="Picture 5">
          <a:extLst>
            <a:ext uri="{FF2B5EF4-FFF2-40B4-BE49-F238E27FC236}">
              <a16:creationId xmlns:a16="http://schemas.microsoft.com/office/drawing/2014/main" id="{0C390A0F-3FAB-42CA-BE81-2B7F3B31413D}"/>
            </a:ext>
          </a:extLst>
        </xdr:cNvPr>
        <xdr:cNvPicPr>
          <a:picLocks noChangeAspect="1"/>
        </xdr:cNvPicPr>
      </xdr:nvPicPr>
      <xdr:blipFill>
        <a:blip xmlns:r="http://schemas.openxmlformats.org/officeDocument/2006/relationships" r:embed="rId3"/>
        <a:stretch>
          <a:fillRect/>
        </a:stretch>
      </xdr:blipFill>
      <xdr:spPr>
        <a:xfrm>
          <a:off x="914690" y="19040945"/>
          <a:ext cx="11968113" cy="48187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5 - Alliant - 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row>
        <row r="252">
          <cell r="C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row>
        <row r="253">
          <cell r="C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row>
        <row r="254">
          <cell r="C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row>
        <row r="278">
          <cell r="C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row>
        <row r="279">
          <cell r="C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row>
        <row r="280">
          <cell r="C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393"/>
  <sheetViews>
    <sheetView view="pageBreakPreview" topLeftCell="A361" zoomScale="80" zoomScaleNormal="80" zoomScaleSheetLayoutView="80" workbookViewId="0">
      <selection sqref="A1:XFD1048576"/>
    </sheetView>
  </sheetViews>
  <sheetFormatPr defaultColWidth="9.1796875" defaultRowHeight="15.5"/>
  <cols>
    <col min="1" max="1" width="7.453125" style="171" customWidth="1"/>
    <col min="2" max="2" width="5.7265625" style="176" customWidth="1"/>
    <col min="3" max="3" width="64" style="176" customWidth="1"/>
    <col min="4" max="4" width="35.81640625" style="176" customWidth="1"/>
    <col min="5" max="5" width="25.7265625" style="164" customWidth="1"/>
    <col min="6" max="6" width="65.7265625" style="114" customWidth="1"/>
    <col min="7" max="7" width="2.7265625" style="114" customWidth="1"/>
    <col min="8" max="8" width="26.1796875" style="114" customWidth="1"/>
    <col min="9" max="9" width="3.26953125" style="165" customWidth="1"/>
    <col min="10" max="10" width="7.453125" style="114" customWidth="1"/>
    <col min="11" max="11" width="14.26953125" style="114" customWidth="1"/>
    <col min="12" max="12" width="14.26953125" style="1053" customWidth="1"/>
    <col min="13" max="16384" width="9.1796875" style="114"/>
  </cols>
  <sheetData>
    <row r="1" spans="1:12" ht="30">
      <c r="A1" s="1"/>
      <c r="C1" s="176" t="s">
        <v>101</v>
      </c>
      <c r="F1" s="888"/>
      <c r="H1" s="215"/>
      <c r="I1" s="889"/>
      <c r="J1" s="257"/>
    </row>
    <row r="2" spans="1:12" ht="28">
      <c r="A2" s="1"/>
      <c r="D2" s="379" t="s">
        <v>378</v>
      </c>
      <c r="F2" s="380"/>
      <c r="H2" s="215"/>
      <c r="I2" s="889"/>
      <c r="J2" s="257"/>
    </row>
    <row r="3" spans="1:12" s="384" customFormat="1" ht="39.75" customHeight="1" thickBot="1">
      <c r="A3" s="381"/>
      <c r="B3" s="382"/>
      <c r="C3" s="382"/>
      <c r="D3" s="382"/>
      <c r="E3" s="383"/>
      <c r="J3" s="257"/>
    </row>
    <row r="4" spans="1:12" ht="27.75" customHeight="1" thickBot="1">
      <c r="A4" s="385" t="s">
        <v>343</v>
      </c>
      <c r="B4" s="386"/>
      <c r="C4" s="386"/>
      <c r="D4" s="386"/>
      <c r="E4" s="387"/>
      <c r="F4" s="388"/>
      <c r="H4" s="410"/>
      <c r="I4" s="383"/>
      <c r="J4" s="12"/>
    </row>
    <row r="5" spans="1:12" s="257" customFormat="1" ht="42" customHeight="1" thickBot="1">
      <c r="A5" s="389" t="s">
        <v>379</v>
      </c>
      <c r="B5" s="390"/>
      <c r="C5" s="391"/>
      <c r="D5" s="391"/>
      <c r="E5" s="392" t="s">
        <v>380</v>
      </c>
      <c r="F5" s="393" t="s">
        <v>381</v>
      </c>
      <c r="G5" s="394"/>
      <c r="H5" s="395" t="s">
        <v>2135</v>
      </c>
      <c r="I5" s="912"/>
    </row>
    <row r="6" spans="1:12" s="402" customFormat="1" ht="23.25" customHeight="1">
      <c r="A6" s="396" t="s">
        <v>382</v>
      </c>
      <c r="B6" s="397"/>
      <c r="C6" s="398"/>
      <c r="D6" s="398"/>
      <c r="E6" s="399"/>
      <c r="F6" s="400"/>
      <c r="G6" s="401"/>
      <c r="H6" s="400"/>
      <c r="I6" s="400"/>
    </row>
    <row r="7" spans="1:12" s="165" customFormat="1">
      <c r="A7" s="403" t="s">
        <v>383</v>
      </c>
      <c r="B7" s="404"/>
      <c r="C7" s="405"/>
      <c r="D7" s="405"/>
      <c r="E7" s="406"/>
      <c r="F7" s="407"/>
      <c r="G7" s="407"/>
      <c r="H7" s="236"/>
      <c r="I7" s="409"/>
      <c r="L7" s="990"/>
    </row>
    <row r="8" spans="1:12" s="165" customFormat="1">
      <c r="A8" s="196"/>
      <c r="B8" s="256"/>
      <c r="C8" s="256"/>
      <c r="D8" s="256"/>
      <c r="E8" s="1381"/>
      <c r="F8" s="408"/>
      <c r="G8" s="408"/>
      <c r="H8" s="409"/>
      <c r="I8" s="409"/>
      <c r="L8" s="990"/>
    </row>
    <row r="9" spans="1:12" ht="18" customHeight="1">
      <c r="A9" s="172"/>
      <c r="B9" s="203" t="s">
        <v>384</v>
      </c>
      <c r="E9" s="238"/>
      <c r="F9" s="187"/>
      <c r="G9" s="187"/>
      <c r="H9" s="187"/>
      <c r="I9" s="188"/>
    </row>
    <row r="10" spans="1:12">
      <c r="A10" s="1417">
        <v>1</v>
      </c>
      <c r="B10" s="1053"/>
      <c r="C10" s="1053" t="s">
        <v>1934</v>
      </c>
      <c r="D10" s="1419"/>
      <c r="E10" s="1417"/>
      <c r="F10" s="1043" t="s">
        <v>385</v>
      </c>
      <c r="G10" s="1043"/>
      <c r="H10" s="411">
        <v>6801858</v>
      </c>
      <c r="I10" s="913"/>
      <c r="K10" s="1765"/>
      <c r="L10" s="1761"/>
    </row>
    <row r="11" spans="1:12" s="1053" customFormat="1">
      <c r="A11" s="1417" t="s">
        <v>299</v>
      </c>
      <c r="C11" s="1053" t="s">
        <v>1935</v>
      </c>
      <c r="D11" s="1419"/>
      <c r="E11" s="1417"/>
      <c r="F11" s="1043" t="s">
        <v>1936</v>
      </c>
      <c r="G11" s="1043"/>
      <c r="H11" s="1420">
        <v>4721927</v>
      </c>
      <c r="I11" s="913"/>
      <c r="K11" s="1765"/>
      <c r="L11" s="1761"/>
    </row>
    <row r="12" spans="1:12" s="1053" customFormat="1">
      <c r="A12" s="1417" t="s">
        <v>1937</v>
      </c>
      <c r="C12" s="1053" t="s">
        <v>1938</v>
      </c>
      <c r="D12" s="1419"/>
      <c r="E12" s="1417"/>
      <c r="F12" s="1043" t="s">
        <v>1936</v>
      </c>
      <c r="G12" s="1043"/>
      <c r="H12" s="1420">
        <v>1066494</v>
      </c>
      <c r="I12" s="913"/>
      <c r="K12" s="1765"/>
      <c r="L12" s="1761"/>
    </row>
    <row r="13" spans="1:12" s="1053" customFormat="1">
      <c r="A13" s="1417" t="s">
        <v>1939</v>
      </c>
      <c r="C13" s="1053" t="s">
        <v>1940</v>
      </c>
      <c r="E13" s="1417"/>
      <c r="F13" s="1053" t="s">
        <v>1941</v>
      </c>
      <c r="G13" s="1043"/>
      <c r="H13" s="1421">
        <f>SUM(H10:H12)</f>
        <v>12590279</v>
      </c>
      <c r="I13" s="913"/>
      <c r="K13" s="1765"/>
      <c r="L13" s="1761"/>
    </row>
    <row r="14" spans="1:12" s="1053" customFormat="1">
      <c r="A14" s="1417">
        <v>2</v>
      </c>
      <c r="C14" s="1053" t="s">
        <v>1942</v>
      </c>
      <c r="E14" s="1417"/>
      <c r="F14" s="1053" t="s">
        <v>387</v>
      </c>
      <c r="G14" s="1043"/>
      <c r="H14" s="411">
        <v>71844103</v>
      </c>
      <c r="I14" s="913"/>
      <c r="K14" s="1765"/>
      <c r="L14" s="1761"/>
    </row>
    <row r="15" spans="1:12" s="1053" customFormat="1">
      <c r="A15" s="1417" t="s">
        <v>1943</v>
      </c>
      <c r="C15" s="1053" t="s">
        <v>1944</v>
      </c>
      <c r="E15" s="1417"/>
      <c r="F15" s="1053" t="s">
        <v>1936</v>
      </c>
      <c r="G15" s="1043"/>
      <c r="H15" s="1423">
        <v>21298043</v>
      </c>
      <c r="I15" s="913"/>
      <c r="K15" s="1765"/>
      <c r="L15" s="1761"/>
    </row>
    <row r="16" spans="1:12" s="1053" customFormat="1">
      <c r="A16" s="1417" t="s">
        <v>1945</v>
      </c>
      <c r="C16" s="1053" t="s">
        <v>1946</v>
      </c>
      <c r="E16" s="1417"/>
      <c r="F16" s="1053" t="s">
        <v>1936</v>
      </c>
      <c r="G16" s="1043"/>
      <c r="H16" s="1423">
        <v>31989849</v>
      </c>
      <c r="I16" s="913"/>
      <c r="K16" s="1765"/>
      <c r="L16" s="1761"/>
    </row>
    <row r="17" spans="1:12" s="1053" customFormat="1">
      <c r="A17" s="1417" t="s">
        <v>1947</v>
      </c>
      <c r="C17" s="1053" t="s">
        <v>386</v>
      </c>
      <c r="E17" s="1417"/>
      <c r="F17" s="1053" t="s">
        <v>1948</v>
      </c>
      <c r="G17" s="1043"/>
      <c r="H17" s="1421">
        <f>SUM(H14:H16)</f>
        <v>125131995</v>
      </c>
      <c r="I17" s="913"/>
      <c r="K17" s="1765"/>
      <c r="L17" s="1761"/>
    </row>
    <row r="18" spans="1:12" s="1053" customFormat="1">
      <c r="A18" s="1417">
        <v>3</v>
      </c>
      <c r="C18" s="1053" t="s">
        <v>388</v>
      </c>
      <c r="E18" s="1417"/>
      <c r="F18" s="1053" t="s">
        <v>389</v>
      </c>
      <c r="G18" s="1043"/>
      <c r="H18" s="1422">
        <v>5863746</v>
      </c>
      <c r="I18" s="913"/>
      <c r="K18" s="1765"/>
      <c r="L18" s="1761"/>
    </row>
    <row r="19" spans="1:12" s="1053" customFormat="1">
      <c r="A19" s="1417" t="s">
        <v>822</v>
      </c>
      <c r="C19" s="1053" t="s">
        <v>1949</v>
      </c>
      <c r="E19" s="1417"/>
      <c r="F19" s="1053" t="s">
        <v>1936</v>
      </c>
      <c r="G19" s="1043"/>
      <c r="H19" s="1420">
        <v>13730498</v>
      </c>
      <c r="I19" s="913"/>
      <c r="K19" s="1765"/>
      <c r="L19" s="1761"/>
    </row>
    <row r="20" spans="1:12">
      <c r="A20" s="1417" t="s">
        <v>823</v>
      </c>
      <c r="B20" s="1053"/>
      <c r="C20" s="1053" t="s">
        <v>1950</v>
      </c>
      <c r="D20" s="1053"/>
      <c r="E20" s="1417"/>
      <c r="F20" s="1053" t="s">
        <v>1936</v>
      </c>
      <c r="G20" s="1053"/>
      <c r="H20" s="1420">
        <v>17177071</v>
      </c>
      <c r="K20" s="1765"/>
      <c r="L20" s="1761"/>
    </row>
    <row r="21" spans="1:12">
      <c r="A21" s="180"/>
      <c r="B21" s="180"/>
      <c r="C21" s="408"/>
      <c r="D21" s="408"/>
      <c r="E21" s="1374"/>
      <c r="F21" s="408"/>
      <c r="G21" s="176"/>
      <c r="H21" s="1052"/>
      <c r="I21" s="914"/>
    </row>
    <row r="22" spans="1:12">
      <c r="A22" s="180">
        <v>4</v>
      </c>
      <c r="B22" s="180"/>
      <c r="C22" s="413" t="s">
        <v>59</v>
      </c>
      <c r="D22" s="207"/>
      <c r="E22" s="414"/>
      <c r="F22" s="464" t="s">
        <v>1951</v>
      </c>
      <c r="G22" s="204"/>
      <c r="H22" s="202">
        <f>H17-H18-H19-H20</f>
        <v>88360680</v>
      </c>
      <c r="I22" s="179"/>
      <c r="K22" s="1765"/>
      <c r="L22" s="1761"/>
    </row>
    <row r="23" spans="1:12">
      <c r="A23" s="180"/>
      <c r="B23" s="180"/>
      <c r="C23" s="191"/>
      <c r="E23" s="238"/>
      <c r="F23" s="176"/>
      <c r="G23" s="176"/>
      <c r="H23" s="187"/>
      <c r="I23" s="188"/>
    </row>
    <row r="24" spans="1:12" ht="16" thickBot="1">
      <c r="A24" s="180">
        <v>5</v>
      </c>
      <c r="B24" s="415" t="s">
        <v>350</v>
      </c>
      <c r="C24" s="415"/>
      <c r="D24" s="416"/>
      <c r="E24" s="482"/>
      <c r="F24" s="437" t="s">
        <v>1952</v>
      </c>
      <c r="G24" s="418"/>
      <c r="H24" s="1810">
        <f>+H13/H22</f>
        <v>0.14248734844503233</v>
      </c>
      <c r="I24" s="910"/>
      <c r="K24" s="1765"/>
      <c r="L24" s="1761"/>
    </row>
    <row r="25" spans="1:12" ht="16" thickTop="1">
      <c r="A25" s="180"/>
      <c r="B25" s="180"/>
      <c r="C25" s="203"/>
      <c r="D25" s="199"/>
      <c r="E25" s="238"/>
      <c r="F25" s="176"/>
      <c r="G25" s="176"/>
      <c r="H25" s="419"/>
      <c r="I25" s="915"/>
    </row>
    <row r="26" spans="1:12">
      <c r="A26" s="164"/>
      <c r="B26" s="203" t="s">
        <v>69</v>
      </c>
      <c r="D26" s="114"/>
      <c r="E26" s="1374"/>
    </row>
    <row r="27" spans="1:12">
      <c r="A27" s="172">
        <v>6</v>
      </c>
      <c r="B27" s="114"/>
      <c r="C27" s="408" t="s">
        <v>186</v>
      </c>
      <c r="E27" s="500" t="str">
        <f>"(Note "&amp;B$342&amp;")"</f>
        <v>(Note B)</v>
      </c>
      <c r="F27" s="408" t="s">
        <v>934</v>
      </c>
      <c r="H27" s="411">
        <f>'9A - Gross Plant &amp; ARO'!K24</f>
        <v>10833944478.569231</v>
      </c>
      <c r="I27" s="913"/>
      <c r="K27" s="1755"/>
      <c r="L27" s="1762"/>
    </row>
    <row r="28" spans="1:12">
      <c r="A28" s="172" t="s">
        <v>963</v>
      </c>
      <c r="B28" s="172"/>
      <c r="C28" s="203" t="s">
        <v>908</v>
      </c>
      <c r="D28" s="199"/>
      <c r="E28" s="1374"/>
      <c r="F28" s="188" t="s">
        <v>964</v>
      </c>
      <c r="H28" s="411">
        <f>+'10 - Merger Costs'!C103</f>
        <v>0</v>
      </c>
      <c r="I28" s="913"/>
      <c r="K28" s="1755"/>
      <c r="L28" s="1762"/>
    </row>
    <row r="29" spans="1:12">
      <c r="A29" s="172">
        <v>7</v>
      </c>
      <c r="B29" s="114"/>
      <c r="C29" s="408" t="s">
        <v>390</v>
      </c>
      <c r="E29" s="500"/>
      <c r="F29" s="185" t="str">
        <f>"(Line "&amp;A$62&amp;" - "&amp;A$63&amp;")"</f>
        <v>(Line 24 - 24a)</v>
      </c>
      <c r="H29" s="188">
        <f>H62-H63</f>
        <v>0</v>
      </c>
      <c r="I29" s="188"/>
      <c r="K29" s="1755"/>
      <c r="L29" s="1762"/>
    </row>
    <row r="30" spans="1:12">
      <c r="A30" s="172">
        <v>8</v>
      </c>
      <c r="B30" s="114"/>
      <c r="C30" s="420" t="s">
        <v>391</v>
      </c>
      <c r="D30" s="204"/>
      <c r="E30" s="423"/>
      <c r="F30" s="207" t="str">
        <f>"(Line "&amp;A27&amp;" - "&amp;A28&amp;" +"&amp;A29&amp;")"</f>
        <v>(Line 6 - 6a +7)</v>
      </c>
      <c r="G30" s="421"/>
      <c r="H30" s="202">
        <f>+H27-H28+H29</f>
        <v>10833944478.569231</v>
      </c>
      <c r="I30" s="179"/>
      <c r="K30" s="1755"/>
      <c r="L30" s="1762"/>
    </row>
    <row r="31" spans="1:12">
      <c r="A31" s="410"/>
      <c r="B31" s="114"/>
      <c r="C31" s="408"/>
      <c r="E31" s="1374"/>
      <c r="F31" s="408"/>
      <c r="H31" s="188"/>
      <c r="I31" s="188"/>
    </row>
    <row r="32" spans="1:12">
      <c r="A32" s="172">
        <f>+A30+1</f>
        <v>9</v>
      </c>
      <c r="B32" s="114"/>
      <c r="C32" s="408" t="s">
        <v>187</v>
      </c>
      <c r="E32" s="1374"/>
      <c r="F32" s="408" t="s">
        <v>1013</v>
      </c>
      <c r="H32" s="411">
        <f>+'9A - Gross Plant &amp; ARO'!C64</f>
        <v>3604861667.6623077</v>
      </c>
      <c r="I32" s="913"/>
      <c r="K32" s="1755"/>
      <c r="L32" s="1762"/>
    </row>
    <row r="33" spans="1:12">
      <c r="A33" s="172" t="s">
        <v>1006</v>
      </c>
      <c r="B33" s="165"/>
      <c r="C33" s="203" t="s">
        <v>908</v>
      </c>
      <c r="D33" s="199"/>
      <c r="E33" s="1374"/>
      <c r="F33" s="188" t="s">
        <v>1011</v>
      </c>
      <c r="H33" s="411">
        <f>+'10 - Merger Costs'!C51</f>
        <v>0</v>
      </c>
      <c r="I33" s="913"/>
      <c r="K33" s="1755"/>
      <c r="L33" s="1762"/>
    </row>
    <row r="34" spans="1:12">
      <c r="A34" s="172">
        <f>+A32+1</f>
        <v>10</v>
      </c>
      <c r="B34" s="114"/>
      <c r="C34" s="408" t="s">
        <v>188</v>
      </c>
      <c r="E34" s="500" t="str">
        <f>"(Note "&amp;B$341&amp;")"</f>
        <v>(Note A)</v>
      </c>
      <c r="F34" s="188" t="s">
        <v>1014</v>
      </c>
      <c r="H34" s="411">
        <f>+'9 - Rate Base'!I24</f>
        <v>82175228.167692319</v>
      </c>
      <c r="I34" s="913"/>
      <c r="K34" s="1755"/>
      <c r="L34" s="1762"/>
    </row>
    <row r="35" spans="1:12">
      <c r="A35" s="172" t="s">
        <v>1007</v>
      </c>
      <c r="B35" s="165"/>
      <c r="C35" s="203" t="s">
        <v>908</v>
      </c>
      <c r="D35" s="199"/>
      <c r="E35" s="1374"/>
      <c r="F35" s="188" t="s">
        <v>1039</v>
      </c>
      <c r="H35" s="411">
        <f>+'9 - Rate Base'!I25</f>
        <v>0</v>
      </c>
      <c r="I35" s="913"/>
      <c r="K35" s="1755"/>
      <c r="L35" s="1762"/>
    </row>
    <row r="36" spans="1:12">
      <c r="A36" s="172">
        <f>+A34+1</f>
        <v>11</v>
      </c>
      <c r="B36" s="114"/>
      <c r="C36" s="408" t="s">
        <v>392</v>
      </c>
      <c r="E36" s="500" t="str">
        <f>"(Note "&amp;B$341&amp;")"</f>
        <v>(Note A)</v>
      </c>
      <c r="F36" s="188" t="s">
        <v>1015</v>
      </c>
      <c r="H36" s="422">
        <f>+'9 - Rate Base'!J24</f>
        <v>0</v>
      </c>
      <c r="I36" s="188"/>
      <c r="K36" s="1755"/>
      <c r="L36" s="1762"/>
    </row>
    <row r="37" spans="1:12">
      <c r="A37" s="172" t="s">
        <v>1018</v>
      </c>
      <c r="B37" s="165"/>
      <c r="C37" s="203" t="s">
        <v>908</v>
      </c>
      <c r="D37" s="199"/>
      <c r="E37" s="1374"/>
      <c r="F37" s="188" t="s">
        <v>1016</v>
      </c>
      <c r="H37" s="422">
        <f>+'9 - Rate Base'!J25</f>
        <v>0</v>
      </c>
      <c r="I37" s="188"/>
      <c r="K37" s="1755"/>
      <c r="L37" s="1762"/>
    </row>
    <row r="38" spans="1:12">
      <c r="A38" s="172">
        <f>+A36+1</f>
        <v>12</v>
      </c>
      <c r="C38" s="256" t="s">
        <v>394</v>
      </c>
      <c r="E38" s="500" t="str">
        <f>"(Note "&amp;B$341&amp;")"</f>
        <v>(Note A)</v>
      </c>
      <c r="F38" s="188" t="s">
        <v>1017</v>
      </c>
      <c r="H38" s="422">
        <f>+'9 - Rate Base'!H24</f>
        <v>0</v>
      </c>
      <c r="I38" s="188"/>
      <c r="K38" s="1755"/>
      <c r="L38" s="1762"/>
    </row>
    <row r="39" spans="1:12">
      <c r="A39" s="172" t="s">
        <v>1019</v>
      </c>
      <c r="B39" s="165"/>
      <c r="C39" s="203" t="s">
        <v>908</v>
      </c>
      <c r="D39" s="199"/>
      <c r="E39" s="1374"/>
      <c r="F39" s="188" t="s">
        <v>1037</v>
      </c>
      <c r="H39" s="422">
        <f>+'9 - Rate Base'!H25</f>
        <v>0</v>
      </c>
      <c r="I39" s="188"/>
      <c r="K39" s="1755"/>
      <c r="L39" s="1762"/>
    </row>
    <row r="40" spans="1:12">
      <c r="A40" s="172">
        <v>13</v>
      </c>
      <c r="C40" s="420" t="s">
        <v>395</v>
      </c>
      <c r="D40" s="204"/>
      <c r="E40" s="423"/>
      <c r="F40" s="207" t="str">
        <f>"(Line "&amp;A32&amp;" - "&amp;A33&amp;" + "&amp;A34&amp;" - "&amp;A35&amp;" + "&amp;A36&amp;" - "&amp;A37&amp;" + "&amp;A38&amp;" - "&amp;A39&amp;")"</f>
        <v>(Line 9 - 9a + 10 - 10a + 11 - 11a + 12 - 12a)</v>
      </c>
      <c r="G40" s="421"/>
      <c r="H40" s="202">
        <f>H32-H33+H34-H35+H36-H37+H38-H39</f>
        <v>3687036895.8299999</v>
      </c>
      <c r="I40" s="179"/>
      <c r="K40" s="1755"/>
      <c r="L40" s="1762"/>
    </row>
    <row r="41" spans="1:12" ht="17.25" customHeight="1">
      <c r="A41" s="164"/>
      <c r="C41" s="256"/>
      <c r="E41" s="1374"/>
      <c r="F41" s="187"/>
      <c r="H41" s="424"/>
      <c r="I41" s="426"/>
    </row>
    <row r="42" spans="1:12">
      <c r="A42" s="180">
        <v>14</v>
      </c>
      <c r="B42" s="114"/>
      <c r="C42" s="421" t="s">
        <v>396</v>
      </c>
      <c r="D42" s="421"/>
      <c r="E42" s="423"/>
      <c r="F42" s="207" t="s">
        <v>966</v>
      </c>
      <c r="G42" s="421"/>
      <c r="H42" s="207">
        <f>+H30-H40</f>
        <v>7146907582.7392311</v>
      </c>
      <c r="I42" s="179"/>
      <c r="K42" s="1755"/>
      <c r="L42" s="1762"/>
    </row>
    <row r="43" spans="1:12">
      <c r="A43" s="164"/>
      <c r="B43" s="114"/>
      <c r="C43" s="114"/>
      <c r="D43" s="114"/>
      <c r="E43" s="1374"/>
    </row>
    <row r="44" spans="1:12">
      <c r="A44" s="172">
        <v>15</v>
      </c>
      <c r="B44" s="114"/>
      <c r="C44" s="114" t="s">
        <v>397</v>
      </c>
      <c r="D44" s="114"/>
      <c r="E44" s="1374"/>
      <c r="F44" s="185" t="s">
        <v>967</v>
      </c>
      <c r="H44" s="424">
        <f>+H70-H68</f>
        <v>1923537092.7171345</v>
      </c>
      <c r="I44" s="426"/>
      <c r="K44" s="1755"/>
      <c r="L44" s="1762"/>
    </row>
    <row r="45" spans="1:12" ht="16" thickBot="1">
      <c r="A45" s="180">
        <v>16</v>
      </c>
      <c r="B45" s="227" t="s">
        <v>297</v>
      </c>
      <c r="C45" s="227"/>
      <c r="D45" s="227"/>
      <c r="E45" s="425"/>
      <c r="F45" s="417" t="s">
        <v>968</v>
      </c>
      <c r="G45" s="227"/>
      <c r="H45" s="1810">
        <f>+H44/(H30)</f>
        <v>0.17754725405156993</v>
      </c>
      <c r="I45" s="910"/>
      <c r="K45" s="1755"/>
      <c r="L45" s="1762"/>
    </row>
    <row r="46" spans="1:12" ht="16" thickTop="1">
      <c r="A46" s="164"/>
      <c r="E46" s="1374"/>
    </row>
    <row r="47" spans="1:12">
      <c r="A47" s="172">
        <v>17</v>
      </c>
      <c r="B47" s="180"/>
      <c r="C47" s="203" t="s">
        <v>398</v>
      </c>
      <c r="D47" s="199"/>
      <c r="E47" s="238"/>
      <c r="F47" s="185" t="s">
        <v>969</v>
      </c>
      <c r="G47" s="176"/>
      <c r="H47" s="426">
        <f>+H89-H68</f>
        <v>1293335358.8951321</v>
      </c>
      <c r="I47" s="426"/>
      <c r="K47" s="1755"/>
      <c r="L47" s="1762"/>
    </row>
    <row r="48" spans="1:12" ht="16" thickBot="1">
      <c r="A48" s="180">
        <v>18</v>
      </c>
      <c r="B48" s="227" t="s">
        <v>399</v>
      </c>
      <c r="C48" s="227"/>
      <c r="D48" s="227"/>
      <c r="E48" s="425"/>
      <c r="F48" s="417" t="s">
        <v>970</v>
      </c>
      <c r="G48" s="227"/>
      <c r="H48" s="1811">
        <f>+H47/H42</f>
        <v>0.18096433232447492</v>
      </c>
      <c r="I48" s="910"/>
      <c r="K48" s="1755"/>
      <c r="L48" s="1762"/>
    </row>
    <row r="49" spans="1:12" ht="16" thickTop="1">
      <c r="A49" s="180"/>
      <c r="B49" s="446"/>
      <c r="C49" s="446"/>
      <c r="D49" s="446"/>
      <c r="E49" s="1374"/>
      <c r="F49" s="178"/>
      <c r="G49" s="446"/>
      <c r="H49" s="910"/>
      <c r="I49" s="910"/>
    </row>
    <row r="50" spans="1:12">
      <c r="A50" s="181"/>
      <c r="B50" s="180"/>
      <c r="C50" s="203"/>
      <c r="D50" s="199"/>
      <c r="E50" s="238"/>
      <c r="F50" s="176"/>
      <c r="G50" s="176"/>
      <c r="H50" s="419"/>
      <c r="I50" s="915"/>
    </row>
    <row r="51" spans="1:12" s="165" customFormat="1">
      <c r="A51" s="427" t="s">
        <v>400</v>
      </c>
      <c r="B51" s="428"/>
      <c r="C51" s="405"/>
      <c r="D51" s="405"/>
      <c r="E51" s="1382"/>
      <c r="F51" s="407"/>
      <c r="G51" s="407"/>
      <c r="H51" s="236"/>
      <c r="I51" s="409"/>
      <c r="L51" s="990"/>
    </row>
    <row r="52" spans="1:12" s="165" customFormat="1">
      <c r="A52" s="429"/>
      <c r="B52" s="430"/>
      <c r="C52" s="256"/>
      <c r="D52" s="256"/>
      <c r="E52" s="1383"/>
      <c r="F52" s="408"/>
      <c r="G52" s="408"/>
      <c r="H52" s="409"/>
      <c r="I52" s="409"/>
      <c r="L52" s="990"/>
    </row>
    <row r="53" spans="1:12">
      <c r="A53" s="164"/>
      <c r="B53" s="203" t="s">
        <v>71</v>
      </c>
      <c r="E53" s="238"/>
      <c r="F53" s="188"/>
      <c r="G53" s="172"/>
      <c r="H53" s="187"/>
      <c r="I53" s="188"/>
    </row>
    <row r="54" spans="1:12">
      <c r="A54" s="172">
        <v>19</v>
      </c>
      <c r="B54" s="180"/>
      <c r="C54" s="191" t="s">
        <v>401</v>
      </c>
      <c r="E54" s="500" t="str">
        <f>"(Note "&amp;B$342&amp;")"</f>
        <v>(Note B)</v>
      </c>
      <c r="F54" s="188" t="s">
        <v>1032</v>
      </c>
      <c r="G54" s="176"/>
      <c r="H54" s="411">
        <f>+'9 - Rate Base'!C24</f>
        <v>1838575526.6599998</v>
      </c>
      <c r="I54" s="913"/>
      <c r="K54" s="1755"/>
      <c r="L54" s="1762"/>
    </row>
    <row r="55" spans="1:12">
      <c r="A55" s="172" t="s">
        <v>1020</v>
      </c>
      <c r="B55" s="165"/>
      <c r="C55" s="203" t="s">
        <v>908</v>
      </c>
      <c r="D55" s="199"/>
      <c r="E55" s="1374"/>
      <c r="F55" s="188" t="s">
        <v>1021</v>
      </c>
      <c r="G55" s="176"/>
      <c r="H55" s="422">
        <f>+'9 - Rate Base'!C25</f>
        <v>0</v>
      </c>
      <c r="I55" s="188"/>
      <c r="K55" s="1755"/>
      <c r="L55" s="1762"/>
    </row>
    <row r="56" spans="1:12">
      <c r="A56" s="172">
        <v>20</v>
      </c>
      <c r="B56" s="172"/>
      <c r="C56" s="203" t="s">
        <v>956</v>
      </c>
      <c r="D56" s="199"/>
      <c r="E56" s="238"/>
      <c r="F56" s="196"/>
      <c r="G56" s="176"/>
      <c r="H56" s="867">
        <v>0</v>
      </c>
      <c r="I56" s="867"/>
      <c r="K56" s="1755"/>
      <c r="L56" s="1762"/>
    </row>
    <row r="57" spans="1:12">
      <c r="A57" s="172">
        <v>21</v>
      </c>
      <c r="B57" s="172"/>
      <c r="C57" s="526" t="s">
        <v>956</v>
      </c>
      <c r="D57" s="477"/>
      <c r="E57" s="431"/>
      <c r="F57" s="250"/>
      <c r="G57" s="182"/>
      <c r="H57" s="868">
        <v>0</v>
      </c>
      <c r="I57" s="867"/>
      <c r="K57" s="1755"/>
      <c r="L57" s="1762"/>
    </row>
    <row r="58" spans="1:12">
      <c r="A58" s="172">
        <v>22</v>
      </c>
      <c r="B58" s="180"/>
      <c r="C58" s="191" t="s">
        <v>403</v>
      </c>
      <c r="E58" s="500"/>
      <c r="F58" s="207" t="str">
        <f>"(Line "&amp;A54&amp;" -"&amp;A55&amp;")"</f>
        <v>(Line 19 -19a)</v>
      </c>
      <c r="G58" s="176"/>
      <c r="H58" s="188">
        <f>H54-H55+H56+H57</f>
        <v>1838575526.6599998</v>
      </c>
      <c r="I58" s="188"/>
      <c r="K58" s="1755"/>
      <c r="L58" s="1762"/>
    </row>
    <row r="59" spans="1:12" s="165" customFormat="1">
      <c r="A59" s="172"/>
      <c r="B59" s="172"/>
      <c r="C59" s="203"/>
      <c r="D59" s="199"/>
      <c r="E59" s="1374"/>
      <c r="F59" s="188"/>
      <c r="G59" s="199"/>
      <c r="H59" s="188"/>
      <c r="I59" s="188"/>
      <c r="L59" s="990"/>
    </row>
    <row r="60" spans="1:12">
      <c r="A60" s="172">
        <v>23</v>
      </c>
      <c r="B60" s="180"/>
      <c r="C60" s="191" t="s">
        <v>189</v>
      </c>
      <c r="E60" s="1374"/>
      <c r="F60" s="188" t="s">
        <v>1033</v>
      </c>
      <c r="G60" s="176"/>
      <c r="H60" s="422">
        <f>+'9 - Rate Base'!D24</f>
        <v>596274455.13108361</v>
      </c>
      <c r="I60" s="188"/>
      <c r="K60" s="1755"/>
      <c r="L60" s="1762"/>
    </row>
    <row r="61" spans="1:12">
      <c r="A61" s="172" t="s">
        <v>1022</v>
      </c>
      <c r="B61" s="172"/>
      <c r="C61" s="203" t="s">
        <v>908</v>
      </c>
      <c r="D61" s="199"/>
      <c r="E61" s="1374"/>
      <c r="F61" s="188" t="s">
        <v>1023</v>
      </c>
      <c r="G61" s="176"/>
      <c r="H61" s="422">
        <f>+'9 - Rate Base'!D25</f>
        <v>0</v>
      </c>
      <c r="I61" s="188"/>
      <c r="K61" s="1755"/>
      <c r="L61" s="1762"/>
    </row>
    <row r="62" spans="1:12">
      <c r="A62" s="172">
        <v>24</v>
      </c>
      <c r="B62" s="180"/>
      <c r="C62" s="191" t="s">
        <v>404</v>
      </c>
      <c r="E62" s="500" t="str">
        <f>"(Notes "&amp;B$341&amp;" &amp; "&amp;B$342&amp;")"</f>
        <v>(Notes A &amp; B)</v>
      </c>
      <c r="F62" s="179" t="s">
        <v>1034</v>
      </c>
      <c r="G62" s="176"/>
      <c r="H62" s="432">
        <f>+'9 - Rate Base'!E24</f>
        <v>0</v>
      </c>
      <c r="I62" s="179"/>
      <c r="K62" s="1755"/>
      <c r="L62" s="1762"/>
    </row>
    <row r="63" spans="1:12">
      <c r="A63" s="172" t="s">
        <v>1024</v>
      </c>
      <c r="B63" s="172"/>
      <c r="C63" s="203" t="s">
        <v>908</v>
      </c>
      <c r="D63" s="199"/>
      <c r="E63" s="1374"/>
      <c r="F63" s="194" t="s">
        <v>1025</v>
      </c>
      <c r="G63" s="176"/>
      <c r="H63" s="422">
        <f>+'9 - Rate Base'!E25</f>
        <v>0</v>
      </c>
      <c r="I63" s="188"/>
      <c r="K63" s="1755"/>
      <c r="L63" s="1762"/>
    </row>
    <row r="64" spans="1:12">
      <c r="A64" s="172">
        <v>25</v>
      </c>
      <c r="B64" s="180"/>
      <c r="C64" s="413" t="s">
        <v>405</v>
      </c>
      <c r="D64" s="204"/>
      <c r="E64" s="423"/>
      <c r="F64" s="207" t="str">
        <f>"(Line "&amp;A60&amp;" -"&amp;A61&amp;" + "&amp;A62&amp;" - "&amp;A63&amp;")"</f>
        <v>(Line 23 -23a + 24 - 24a)</v>
      </c>
      <c r="G64" s="204"/>
      <c r="H64" s="207">
        <f>H60-H61+H62-H63</f>
        <v>596274455.13108361</v>
      </c>
      <c r="I64" s="179"/>
      <c r="K64" s="1755"/>
      <c r="L64" s="1762"/>
    </row>
    <row r="65" spans="1:12">
      <c r="A65" s="172">
        <v>26</v>
      </c>
      <c r="B65" s="180"/>
      <c r="C65" s="433" t="s">
        <v>406</v>
      </c>
      <c r="D65" s="203"/>
      <c r="E65" s="238"/>
      <c r="F65" s="185" t="str">
        <f>"(Line "&amp;A$24&amp;")"</f>
        <v>(Line 5)</v>
      </c>
      <c r="G65" s="434"/>
      <c r="H65" s="508">
        <f>+H24</f>
        <v>0.14248734844503233</v>
      </c>
      <c r="I65" s="916"/>
      <c r="K65" s="1755"/>
      <c r="L65" s="1762"/>
    </row>
    <row r="66" spans="1:12">
      <c r="A66" s="172">
        <v>27</v>
      </c>
      <c r="B66" s="114"/>
      <c r="C66" s="201" t="s">
        <v>407</v>
      </c>
      <c r="D66" s="420"/>
      <c r="E66" s="414"/>
      <c r="F66" s="178" t="str">
        <f>"(Line "&amp;A64&amp;" * "&amp;A65&amp;")"</f>
        <v>(Line 25 * 26)</v>
      </c>
      <c r="G66" s="421"/>
      <c r="H66" s="207">
        <f>+H65*H64</f>
        <v>84961566.057134509</v>
      </c>
      <c r="I66" s="179"/>
      <c r="K66" s="1755"/>
      <c r="L66" s="1762"/>
    </row>
    <row r="67" spans="1:12">
      <c r="A67" s="410"/>
      <c r="B67" s="114"/>
      <c r="C67" s="203"/>
      <c r="D67" s="165"/>
      <c r="E67" s="431"/>
      <c r="H67" s="178"/>
      <c r="I67" s="179"/>
    </row>
    <row r="68" spans="1:12">
      <c r="A68" s="172">
        <v>28</v>
      </c>
      <c r="B68" s="180"/>
      <c r="C68" s="201" t="s">
        <v>408</v>
      </c>
      <c r="D68" s="435"/>
      <c r="E68" s="500" t="str">
        <f>"(Note "&amp;B$347&amp;")"</f>
        <v>(Note C)</v>
      </c>
      <c r="F68" s="202" t="s">
        <v>936</v>
      </c>
      <c r="G68" s="204"/>
      <c r="H68" s="436">
        <f>+'9 - Rate Base'!D47</f>
        <v>0</v>
      </c>
      <c r="I68" s="179"/>
      <c r="K68" s="1755"/>
      <c r="L68" s="1762"/>
    </row>
    <row r="69" spans="1:12">
      <c r="A69" s="410"/>
      <c r="B69" s="114"/>
      <c r="C69" s="203"/>
      <c r="D69" s="165"/>
      <c r="E69" s="1374"/>
      <c r="H69" s="178"/>
      <c r="I69" s="179"/>
    </row>
    <row r="70" spans="1:12" s="257" customFormat="1" ht="16" thickBot="1">
      <c r="A70" s="172">
        <v>29</v>
      </c>
      <c r="B70" s="227" t="s">
        <v>409</v>
      </c>
      <c r="C70" s="227"/>
      <c r="D70" s="227"/>
      <c r="E70" s="425"/>
      <c r="F70" s="417" t="str">
        <f>"(Line "&amp;A58&amp;" + "&amp;A66&amp;" + "&amp;A68&amp;")"</f>
        <v>(Line 22 + 27 + 28)</v>
      </c>
      <c r="G70" s="227"/>
      <c r="H70" s="437">
        <f>SUM(H58,H66,H68)</f>
        <v>1923537092.7171345</v>
      </c>
      <c r="I70" s="525"/>
      <c r="J70" s="114"/>
      <c r="K70" s="1755"/>
      <c r="L70" s="1762"/>
    </row>
    <row r="71" spans="1:12" ht="16" thickTop="1">
      <c r="A71" s="410"/>
      <c r="B71" s="114"/>
      <c r="C71" s="114"/>
      <c r="D71" s="114"/>
      <c r="E71" s="1374"/>
    </row>
    <row r="72" spans="1:12">
      <c r="A72" s="172"/>
      <c r="B72" s="203" t="s">
        <v>88</v>
      </c>
      <c r="C72" s="203"/>
      <c r="D72" s="188"/>
      <c r="E72" s="238"/>
      <c r="F72" s="187"/>
      <c r="G72" s="245"/>
      <c r="H72" s="187"/>
      <c r="I72" s="188"/>
    </row>
    <row r="73" spans="1:12">
      <c r="A73" s="410"/>
      <c r="B73" s="199"/>
      <c r="C73" s="199"/>
      <c r="D73" s="199"/>
      <c r="E73" s="1374"/>
      <c r="F73" s="187"/>
      <c r="G73" s="187"/>
      <c r="H73" s="187"/>
      <c r="I73" s="188"/>
    </row>
    <row r="74" spans="1:12">
      <c r="A74" s="172">
        <v>30</v>
      </c>
      <c r="B74" s="180"/>
      <c r="C74" s="191" t="s">
        <v>410</v>
      </c>
      <c r="E74" s="500" t="str">
        <f>"(Note "&amp;B$342&amp;")"</f>
        <v>(Note B)</v>
      </c>
      <c r="F74" s="188" t="s">
        <v>1029</v>
      </c>
      <c r="G74" s="176"/>
      <c r="H74" s="422">
        <f>+'9 - Rate Base'!F24</f>
        <v>597891756.23076928</v>
      </c>
      <c r="I74" s="188"/>
      <c r="K74" s="1755"/>
      <c r="L74" s="1762"/>
    </row>
    <row r="75" spans="1:12">
      <c r="A75" s="172" t="s">
        <v>1026</v>
      </c>
      <c r="B75" s="165"/>
      <c r="C75" s="526" t="s">
        <v>908</v>
      </c>
      <c r="D75" s="477"/>
      <c r="E75" s="431"/>
      <c r="F75" s="194" t="s">
        <v>1030</v>
      </c>
      <c r="G75" s="182"/>
      <c r="H75" s="499">
        <f>+'9 - Rate Base'!F25</f>
        <v>0</v>
      </c>
      <c r="I75" s="179"/>
      <c r="K75" s="1755"/>
      <c r="L75" s="1762"/>
    </row>
    <row r="76" spans="1:12">
      <c r="A76" s="172" t="s">
        <v>1027</v>
      </c>
      <c r="B76" s="165"/>
      <c r="C76" s="203" t="s">
        <v>1028</v>
      </c>
      <c r="D76" s="199"/>
      <c r="E76" s="1374"/>
      <c r="F76" s="188" t="str">
        <f>"(Line "&amp;A74&amp;" - "&amp;A75&amp;")"</f>
        <v>(Line 30 - 30a)</v>
      </c>
      <c r="G76" s="176"/>
      <c r="H76" s="422">
        <f>+H74-H75</f>
        <v>597891756.23076928</v>
      </c>
      <c r="I76" s="188"/>
      <c r="K76" s="1755"/>
      <c r="L76" s="1762"/>
    </row>
    <row r="77" spans="1:12" s="165" customFormat="1">
      <c r="A77" s="172"/>
      <c r="B77" s="172"/>
      <c r="C77" s="199"/>
      <c r="D77" s="203"/>
      <c r="E77" s="1374"/>
      <c r="F77" s="188"/>
      <c r="G77" s="199"/>
      <c r="H77" s="188"/>
      <c r="I77" s="188"/>
      <c r="L77" s="990"/>
    </row>
    <row r="78" spans="1:12">
      <c r="A78" s="172">
        <v>31</v>
      </c>
      <c r="B78" s="180"/>
      <c r="C78" s="191" t="s">
        <v>193</v>
      </c>
      <c r="E78" s="1374"/>
      <c r="F78" s="188" t="s">
        <v>1035</v>
      </c>
      <c r="G78" s="176"/>
      <c r="H78" s="422">
        <f>+'9 - Rate Base'!G24</f>
        <v>144581588.7976923</v>
      </c>
      <c r="I78" s="188"/>
      <c r="K78" s="1755"/>
      <c r="L78" s="1762"/>
    </row>
    <row r="79" spans="1:12">
      <c r="A79" s="172" t="s">
        <v>1031</v>
      </c>
      <c r="B79" s="172"/>
      <c r="C79" s="203" t="s">
        <v>908</v>
      </c>
      <c r="D79" s="199"/>
      <c r="E79" s="1374"/>
      <c r="F79" s="188" t="s">
        <v>1036</v>
      </c>
      <c r="G79" s="176"/>
      <c r="H79" s="422">
        <f>+'9 - Rate Base'!G25</f>
        <v>0</v>
      </c>
      <c r="I79" s="188"/>
      <c r="K79" s="1755"/>
      <c r="L79" s="1762"/>
    </row>
    <row r="80" spans="1:12">
      <c r="A80" s="172">
        <v>32</v>
      </c>
      <c r="B80" s="180"/>
      <c r="C80" s="191" t="s">
        <v>188</v>
      </c>
      <c r="E80" s="1374"/>
      <c r="F80" s="178" t="str">
        <f>"(Line "&amp;A$34&amp;" - "&amp;A$35&amp;")"</f>
        <v>(Line 10 - 10a)</v>
      </c>
      <c r="G80" s="176"/>
      <c r="H80" s="188">
        <f>+H34-H35</f>
        <v>82175228.167692319</v>
      </c>
      <c r="I80" s="188"/>
      <c r="K80" s="1755"/>
      <c r="L80" s="1762"/>
    </row>
    <row r="81" spans="1:12">
      <c r="A81" s="172">
        <v>33</v>
      </c>
      <c r="B81" s="180"/>
      <c r="C81" s="191" t="s">
        <v>392</v>
      </c>
      <c r="E81" s="500"/>
      <c r="F81" s="178" t="str">
        <f>"(Line "&amp;A$36&amp;" - "&amp;A$37&amp;")"</f>
        <v>(Line 11 - 11a)</v>
      </c>
      <c r="G81" s="176"/>
      <c r="H81" s="188">
        <f>+H36-H37</f>
        <v>0</v>
      </c>
      <c r="I81" s="188"/>
      <c r="K81" s="1755"/>
      <c r="L81" s="1762"/>
    </row>
    <row r="82" spans="1:12">
      <c r="A82" s="172">
        <v>34</v>
      </c>
      <c r="B82" s="180"/>
      <c r="C82" s="217" t="s">
        <v>411</v>
      </c>
      <c r="D82" s="182"/>
      <c r="E82" s="468"/>
      <c r="F82" s="185" t="str">
        <f>"(Line "&amp;A$38&amp;" - "&amp;A$39&amp;")"</f>
        <v>(Line 12 - 12a)</v>
      </c>
      <c r="G82" s="176"/>
      <c r="H82" s="194">
        <f>+H38-H39</f>
        <v>0</v>
      </c>
      <c r="I82" s="179"/>
      <c r="K82" s="1755"/>
      <c r="L82" s="1762"/>
    </row>
    <row r="83" spans="1:12">
      <c r="A83" s="172">
        <v>35</v>
      </c>
      <c r="B83" s="180"/>
      <c r="C83" s="439" t="s">
        <v>395</v>
      </c>
      <c r="D83" s="175"/>
      <c r="E83" s="238"/>
      <c r="F83" s="207" t="str">
        <f>"(Line "&amp;A78&amp;" - "&amp;A79&amp;" + "&amp;A80&amp;" + "&amp;A81&amp;" + "&amp;A82&amp;")"</f>
        <v>(Line 31 - 31a + 32 + 33 + 34)</v>
      </c>
      <c r="G83" s="178"/>
      <c r="H83" s="178">
        <f>H78-H79+H80+H81+H82</f>
        <v>226756816.9653846</v>
      </c>
      <c r="I83" s="179"/>
      <c r="K83" s="1755"/>
      <c r="L83" s="1762"/>
    </row>
    <row r="84" spans="1:12">
      <c r="A84" s="172">
        <v>36</v>
      </c>
      <c r="B84" s="180"/>
      <c r="C84" s="439" t="s">
        <v>406</v>
      </c>
      <c r="D84" s="175"/>
      <c r="E84" s="238"/>
      <c r="F84" s="185" t="str">
        <f>"(Line "&amp;A$24&amp;")"</f>
        <v>(Line 5)</v>
      </c>
      <c r="G84" s="178"/>
      <c r="H84" s="1812">
        <f>+H24</f>
        <v>0.14248734844503233</v>
      </c>
      <c r="I84" s="917"/>
      <c r="K84" s="1755"/>
      <c r="L84" s="1762"/>
    </row>
    <row r="85" spans="1:12">
      <c r="A85" s="172">
        <v>37</v>
      </c>
      <c r="B85" s="114"/>
      <c r="C85" s="413" t="s">
        <v>412</v>
      </c>
      <c r="D85" s="421"/>
      <c r="E85" s="423"/>
      <c r="F85" s="178" t="str">
        <f>"(Line "&amp;A83&amp;" * "&amp;A84&amp;")"</f>
        <v>(Line 35 * 36)</v>
      </c>
      <c r="G85" s="421"/>
      <c r="H85" s="207">
        <f>+H84*H83</f>
        <v>32309977.591233175</v>
      </c>
      <c r="I85" s="179"/>
      <c r="K85" s="1755"/>
      <c r="L85" s="1762"/>
    </row>
    <row r="86" spans="1:12">
      <c r="A86" s="410"/>
      <c r="B86" s="114"/>
      <c r="C86" s="114"/>
      <c r="D86" s="114"/>
      <c r="E86" s="1374"/>
    </row>
    <row r="87" spans="1:12" ht="16" thickBot="1">
      <c r="A87" s="172">
        <v>38</v>
      </c>
      <c r="B87" s="227" t="s">
        <v>413</v>
      </c>
      <c r="C87" s="227"/>
      <c r="D87" s="227"/>
      <c r="E87" s="425"/>
      <c r="F87" s="417" t="str">
        <f>"(Line "&amp;A76&amp;" + "&amp;A85&amp;")"</f>
        <v>(Line 30b + 37)</v>
      </c>
      <c r="G87" s="227"/>
      <c r="H87" s="437">
        <f>+H85+H76</f>
        <v>630201733.82200241</v>
      </c>
      <c r="I87" s="525"/>
      <c r="K87" s="1755"/>
      <c r="L87" s="1762"/>
    </row>
    <row r="88" spans="1:12" ht="16" thickTop="1">
      <c r="A88" s="410"/>
      <c r="B88" s="114"/>
      <c r="C88" s="114"/>
      <c r="D88" s="114"/>
      <c r="E88" s="1374"/>
    </row>
    <row r="89" spans="1:12" ht="16" thickBot="1">
      <c r="A89" s="172">
        <v>39</v>
      </c>
      <c r="B89" s="227" t="s">
        <v>414</v>
      </c>
      <c r="C89" s="227"/>
      <c r="D89" s="227"/>
      <c r="E89" s="425"/>
      <c r="F89" s="417" t="str">
        <f>"(Line "&amp;A70&amp;" - "&amp;A87&amp;")"</f>
        <v>(Line 29 - 38)</v>
      </c>
      <c r="G89" s="227"/>
      <c r="H89" s="437">
        <f>+H70-H87</f>
        <v>1293335358.8951321</v>
      </c>
      <c r="I89" s="525"/>
      <c r="K89" s="1755"/>
      <c r="L89" s="1762"/>
    </row>
    <row r="90" spans="1:12" ht="16" thickTop="1">
      <c r="A90" s="164"/>
      <c r="B90" s="114"/>
      <c r="C90" s="114"/>
      <c r="D90" s="114"/>
      <c r="E90" s="1374"/>
    </row>
    <row r="91" spans="1:12">
      <c r="A91" s="427" t="s">
        <v>415</v>
      </c>
      <c r="B91" s="405"/>
      <c r="C91" s="405"/>
      <c r="D91" s="405"/>
      <c r="E91" s="1382"/>
      <c r="F91" s="407"/>
      <c r="G91" s="407"/>
      <c r="H91" s="169"/>
    </row>
    <row r="92" spans="1:12">
      <c r="A92" s="1342"/>
      <c r="B92" s="441"/>
      <c r="C92" s="441"/>
      <c r="D92" s="441"/>
      <c r="E92" s="1374"/>
    </row>
    <row r="93" spans="1:12">
      <c r="A93" s="410"/>
      <c r="B93" s="1000" t="s">
        <v>1049</v>
      </c>
      <c r="C93" s="989"/>
      <c r="D93" s="990"/>
      <c r="E93" s="215"/>
      <c r="F93" s="990"/>
      <c r="G93" s="989"/>
      <c r="H93" s="994"/>
    </row>
    <row r="94" spans="1:12">
      <c r="A94" s="410" t="s">
        <v>1050</v>
      </c>
      <c r="B94" s="1000"/>
      <c r="C94" s="991" t="s">
        <v>1051</v>
      </c>
      <c r="D94" s="1053" t="str">
        <f>'1A - ADIT Summary'!D177</f>
        <v>True-up Adjustment</v>
      </c>
      <c r="E94" s="500" t="s">
        <v>1206</v>
      </c>
      <c r="F94" s="990" t="s">
        <v>1427</v>
      </c>
      <c r="G94" s="989"/>
      <c r="H94" s="1340">
        <f>IF('1A - ADIT Summary'!$D$177="True-Up Adjustment", '1A - ADIT Summary'!R38,'1A - ADIT Summary'!L38)</f>
        <v>2369645.9943509568</v>
      </c>
      <c r="K94" s="1755"/>
      <c r="L94" s="1762"/>
    </row>
    <row r="95" spans="1:12">
      <c r="A95" s="410" t="s">
        <v>1052</v>
      </c>
      <c r="B95" s="1000"/>
      <c r="C95" s="991" t="s">
        <v>1053</v>
      </c>
      <c r="D95" s="1053" t="str">
        <f>D94</f>
        <v>True-up Adjustment</v>
      </c>
      <c r="E95" s="500" t="s">
        <v>1206</v>
      </c>
      <c r="F95" s="990" t="s">
        <v>1428</v>
      </c>
      <c r="G95" s="989"/>
      <c r="H95" s="1340">
        <f>IF('1A - ADIT Summary'!$D$177="True-Up Adjustment", '1A - ADIT Summary'!R71,'1A - ADIT Summary'!L71)</f>
        <v>0</v>
      </c>
      <c r="K95" s="1755"/>
      <c r="L95" s="1762"/>
    </row>
    <row r="96" spans="1:12">
      <c r="A96" s="410" t="s">
        <v>1054</v>
      </c>
      <c r="B96" s="1000"/>
      <c r="C96" s="991" t="s">
        <v>1429</v>
      </c>
      <c r="D96" s="1053" t="str">
        <f>D95</f>
        <v>True-up Adjustment</v>
      </c>
      <c r="E96" s="500" t="s">
        <v>1206</v>
      </c>
      <c r="F96" s="990" t="s">
        <v>1430</v>
      </c>
      <c r="G96" s="989"/>
      <c r="H96" s="1340">
        <f>IF('1A - ADIT Summary'!$D$177="True-Up Adjustment", '1A - ADIT Summary'!R104,'1A - ADIT Summary'!L104)</f>
        <v>-241330697.99351287</v>
      </c>
      <c r="K96" s="1755"/>
      <c r="L96" s="1762"/>
    </row>
    <row r="97" spans="1:12">
      <c r="A97" s="410" t="s">
        <v>1055</v>
      </c>
      <c r="B97" s="1001"/>
      <c r="C97" s="991" t="s">
        <v>1056</v>
      </c>
      <c r="D97" s="1053" t="str">
        <f>D96</f>
        <v>True-up Adjustment</v>
      </c>
      <c r="E97" s="500" t="s">
        <v>1206</v>
      </c>
      <c r="F97" s="990" t="s">
        <v>1431</v>
      </c>
      <c r="G97" s="989"/>
      <c r="H97" s="1340">
        <f>IF('1A - ADIT Summary'!$D$177="True-Up Adjustment", '1A - ADIT Summary'!R137,'1A - ADIT Summary'!L137)</f>
        <v>-11925788.856879951</v>
      </c>
      <c r="K97" s="1755"/>
      <c r="L97" s="1762"/>
    </row>
    <row r="98" spans="1:12">
      <c r="A98" s="410" t="s">
        <v>1432</v>
      </c>
      <c r="B98" s="990"/>
      <c r="C98" s="997" t="s">
        <v>1057</v>
      </c>
      <c r="D98" s="1053" t="str">
        <f>D97</f>
        <v>True-up Adjustment</v>
      </c>
      <c r="E98" s="468" t="s">
        <v>1433</v>
      </c>
      <c r="F98" s="1007" t="s">
        <v>1434</v>
      </c>
      <c r="G98" s="996"/>
      <c r="H98" s="1012">
        <f>IF('1A - ADIT Summary'!$D$177="True-Up Adjustment", '1A - ADIT Summary'!R170,'1A - ADIT Summary'!L170)</f>
        <v>0</v>
      </c>
      <c r="K98" s="1755"/>
      <c r="L98" s="1762"/>
    </row>
    <row r="99" spans="1:12">
      <c r="A99" s="410" t="s">
        <v>1435</v>
      </c>
      <c r="B99" s="990"/>
      <c r="C99" s="1002" t="s">
        <v>419</v>
      </c>
      <c r="D99" s="999"/>
      <c r="E99" s="423"/>
      <c r="F99" s="992" t="s">
        <v>1436</v>
      </c>
      <c r="G99" s="999"/>
      <c r="H99" s="1005">
        <f>SUM(H94:H98)</f>
        <v>-250886840.85604185</v>
      </c>
      <c r="K99" s="1755"/>
      <c r="L99" s="1762"/>
    </row>
    <row r="100" spans="1:12">
      <c r="A100" s="410"/>
      <c r="B100" s="990"/>
      <c r="C100" s="1001"/>
      <c r="D100" s="998"/>
      <c r="E100" s="1374"/>
      <c r="F100" s="998"/>
      <c r="G100" s="1003"/>
      <c r="H100" s="1004"/>
    </row>
    <row r="101" spans="1:12">
      <c r="A101" s="172"/>
      <c r="B101" s="990" t="s">
        <v>1437</v>
      </c>
      <c r="C101" s="1000"/>
      <c r="D101" s="998"/>
      <c r="E101" s="1374"/>
      <c r="F101" s="993"/>
      <c r="G101" s="998"/>
      <c r="H101" s="1008"/>
    </row>
    <row r="102" spans="1:12">
      <c r="A102" s="172" t="s">
        <v>1438</v>
      </c>
      <c r="B102" s="990"/>
      <c r="C102" s="1000" t="s">
        <v>1439</v>
      </c>
      <c r="D102" s="998" t="str">
        <f>D94</f>
        <v>True-up Adjustment</v>
      </c>
      <c r="E102" s="500" t="s">
        <v>1207</v>
      </c>
      <c r="F102" s="993" t="s">
        <v>1440</v>
      </c>
      <c r="G102" s="998"/>
      <c r="H102" s="1009">
        <f>IF('1D - EDIT Rate Base Adjustment'!D237="True-Up Adjustment",'1D - EDIT Rate Base Adjustment'!N117,'1D - EDIT Rate Base Adjustment'!H117)</f>
        <v>-53916574.772124492</v>
      </c>
      <c r="K102" s="1755"/>
      <c r="L102" s="1762"/>
    </row>
    <row r="103" spans="1:12">
      <c r="A103" s="172" t="s">
        <v>1441</v>
      </c>
      <c r="B103" s="990"/>
      <c r="C103" s="1006" t="s">
        <v>1442</v>
      </c>
      <c r="D103" s="1007" t="str">
        <f>D94</f>
        <v>True-up Adjustment</v>
      </c>
      <c r="E103" s="468" t="s">
        <v>1207</v>
      </c>
      <c r="F103" s="995" t="s">
        <v>1443</v>
      </c>
      <c r="G103" s="1007"/>
      <c r="H103" s="1010">
        <f>IF('1D - EDIT Rate Base Adjustment'!D237="True-Up Adjustment",'1D - EDIT Rate Base Adjustment'!N230,'1D - EDIT Rate Base Adjustment'!H230)</f>
        <v>-527537.98749999993</v>
      </c>
      <c r="K103" s="1755"/>
      <c r="L103" s="1762"/>
    </row>
    <row r="104" spans="1:12">
      <c r="A104" s="172">
        <v>42</v>
      </c>
      <c r="B104" s="990"/>
      <c r="C104" s="1000" t="s">
        <v>1444</v>
      </c>
      <c r="D104" s="998"/>
      <c r="E104" s="1374"/>
      <c r="F104" s="992" t="s">
        <v>1445</v>
      </c>
      <c r="G104" s="998"/>
      <c r="H104" s="1008">
        <f>H102+H103</f>
        <v>-54444112.759624489</v>
      </c>
      <c r="K104" s="1755"/>
      <c r="L104" s="1762"/>
    </row>
    <row r="105" spans="1:12">
      <c r="A105" s="172"/>
      <c r="B105" s="990"/>
      <c r="C105" s="1000"/>
      <c r="D105" s="998"/>
      <c r="E105" s="1374"/>
      <c r="F105" s="995"/>
      <c r="G105" s="998"/>
      <c r="H105" s="1008"/>
    </row>
    <row r="106" spans="1:12">
      <c r="A106" s="172">
        <v>43</v>
      </c>
      <c r="B106" s="990"/>
      <c r="C106" s="1002" t="s">
        <v>1446</v>
      </c>
      <c r="D106" s="999"/>
      <c r="E106" s="423"/>
      <c r="F106" s="992" t="s">
        <v>1447</v>
      </c>
      <c r="G106" s="999"/>
      <c r="H106" s="1011">
        <f>H99+H104</f>
        <v>-305330953.61566633</v>
      </c>
      <c r="K106" s="1755"/>
      <c r="L106" s="1762"/>
    </row>
    <row r="107" spans="1:12">
      <c r="A107" s="440"/>
      <c r="B107" s="441"/>
      <c r="C107" s="441"/>
      <c r="D107" s="441"/>
      <c r="E107" s="1374"/>
    </row>
    <row r="108" spans="1:12">
      <c r="A108" s="172" t="s">
        <v>420</v>
      </c>
      <c r="B108" s="442" t="s">
        <v>421</v>
      </c>
      <c r="D108" s="408"/>
      <c r="E108" s="500" t="s">
        <v>422</v>
      </c>
      <c r="F108" s="179" t="s">
        <v>1042</v>
      </c>
      <c r="G108" s="408"/>
      <c r="H108" s="448">
        <f>+'9 - Rate Base'!C47</f>
        <v>0</v>
      </c>
      <c r="I108" s="447"/>
      <c r="K108" s="1755"/>
      <c r="L108" s="1762"/>
    </row>
    <row r="109" spans="1:12" ht="15" customHeight="1">
      <c r="A109" s="172"/>
      <c r="B109" s="114"/>
      <c r="D109" s="408"/>
      <c r="E109" s="500"/>
      <c r="F109" s="179"/>
      <c r="G109" s="446"/>
      <c r="H109" s="447"/>
      <c r="I109" s="447"/>
    </row>
    <row r="110" spans="1:12" ht="18">
      <c r="A110" s="172" t="s">
        <v>423</v>
      </c>
      <c r="B110" s="449" t="s">
        <v>424</v>
      </c>
      <c r="C110" s="450"/>
      <c r="D110" s="451"/>
      <c r="E110" s="451"/>
      <c r="F110" s="890" t="s">
        <v>937</v>
      </c>
      <c r="G110" s="446"/>
      <c r="H110" s="447">
        <f>+'9 - Rate Base'!I47</f>
        <v>289057.02000000019</v>
      </c>
      <c r="I110" s="447"/>
      <c r="K110" s="1755"/>
      <c r="L110" s="1762"/>
    </row>
    <row r="111" spans="1:12" ht="18">
      <c r="A111" s="114"/>
      <c r="B111" s="114"/>
      <c r="C111" s="450"/>
      <c r="D111" s="451"/>
      <c r="E111" s="451"/>
      <c r="F111" s="451"/>
      <c r="G111" s="446"/>
      <c r="H111" s="447"/>
      <c r="I111" s="447"/>
    </row>
    <row r="112" spans="1:12" s="165" customFormat="1">
      <c r="A112" s="172"/>
      <c r="B112" s="165" t="s">
        <v>426</v>
      </c>
      <c r="C112" s="443"/>
      <c r="D112" s="408"/>
      <c r="E112" s="1374"/>
      <c r="F112" s="179"/>
      <c r="G112" s="408"/>
      <c r="H112" s="447"/>
      <c r="I112" s="447"/>
      <c r="L112" s="990"/>
    </row>
    <row r="113" spans="1:12">
      <c r="A113" s="410">
        <v>44</v>
      </c>
      <c r="B113" s="165"/>
      <c r="C113" s="442" t="s">
        <v>1202</v>
      </c>
      <c r="D113" s="408"/>
      <c r="E113" s="1374" t="s">
        <v>418</v>
      </c>
      <c r="F113" s="890" t="s">
        <v>425</v>
      </c>
      <c r="G113" s="446"/>
      <c r="H113" s="447">
        <f>+'5 - Cost Support 1'!AC140</f>
        <v>-8329038.9719531182</v>
      </c>
      <c r="I113" s="447"/>
      <c r="K113" s="1755"/>
      <c r="L113" s="1762"/>
    </row>
    <row r="114" spans="1:12">
      <c r="A114" s="172"/>
      <c r="B114" s="452"/>
      <c r="C114" s="199"/>
      <c r="D114" s="199"/>
      <c r="E114" s="1374"/>
      <c r="F114" s="453"/>
      <c r="G114" s="260"/>
    </row>
    <row r="115" spans="1:12">
      <c r="A115" s="172"/>
      <c r="B115" s="173" t="s">
        <v>130</v>
      </c>
      <c r="C115" s="173"/>
      <c r="D115" s="199"/>
      <c r="E115" s="1374"/>
      <c r="F115" s="454"/>
      <c r="G115" s="455"/>
    </row>
    <row r="116" spans="1:12">
      <c r="A116" s="172">
        <v>45</v>
      </c>
      <c r="B116" s="456"/>
      <c r="C116" s="457" t="s">
        <v>134</v>
      </c>
      <c r="D116" s="438"/>
      <c r="E116" s="468" t="str">
        <f>"(Note "&amp;B$341&amp;")"</f>
        <v>(Note A)</v>
      </c>
      <c r="F116" s="457" t="s">
        <v>938</v>
      </c>
      <c r="G116" s="458"/>
      <c r="H116" s="447">
        <f>+'9 - Rate Base'!G47</f>
        <v>42030287.308703646</v>
      </c>
      <c r="I116" s="447"/>
      <c r="J116" s="424"/>
      <c r="K116" s="1755"/>
      <c r="L116" s="1762"/>
    </row>
    <row r="117" spans="1:12">
      <c r="A117" s="180">
        <v>46</v>
      </c>
      <c r="B117" s="452"/>
      <c r="C117" s="165" t="s">
        <v>427</v>
      </c>
      <c r="D117" s="204"/>
      <c r="E117" s="423"/>
      <c r="F117" s="179" t="s">
        <v>975</v>
      </c>
      <c r="G117" s="254"/>
      <c r="H117" s="459">
        <f>+H116</f>
        <v>42030287.308703646</v>
      </c>
      <c r="I117" s="447"/>
      <c r="J117" s="424"/>
      <c r="K117" s="1755"/>
      <c r="L117" s="1762"/>
    </row>
    <row r="118" spans="1:12">
      <c r="A118" s="172"/>
      <c r="B118" s="452"/>
      <c r="C118" s="199"/>
      <c r="E118" s="1374"/>
      <c r="F118" s="260"/>
      <c r="G118" s="260"/>
    </row>
    <row r="119" spans="1:12">
      <c r="A119" s="180"/>
      <c r="B119" s="452"/>
      <c r="C119" s="173"/>
      <c r="E119" s="1374"/>
      <c r="F119" s="455"/>
      <c r="G119" s="455"/>
      <c r="H119" s="460"/>
      <c r="I119" s="918"/>
    </row>
    <row r="120" spans="1:12">
      <c r="A120" s="172"/>
      <c r="B120" s="173" t="s">
        <v>73</v>
      </c>
      <c r="C120" s="165"/>
      <c r="D120" s="165"/>
      <c r="E120" s="1384"/>
      <c r="F120" s="458"/>
      <c r="G120" s="455"/>
      <c r="H120" s="460"/>
      <c r="I120" s="918"/>
    </row>
    <row r="121" spans="1:12">
      <c r="A121" s="410">
        <v>47</v>
      </c>
      <c r="B121" s="165"/>
      <c r="C121" s="165" t="s">
        <v>428</v>
      </c>
      <c r="D121" s="199"/>
      <c r="E121" s="500" t="str">
        <f>"(Note "&amp;B$341&amp;")"</f>
        <v>(Note A)</v>
      </c>
      <c r="F121" s="173" t="s">
        <v>939</v>
      </c>
      <c r="H121" s="461">
        <f>+'9 - Rate Base'!F47</f>
        <v>0</v>
      </c>
      <c r="I121" s="264"/>
      <c r="J121" s="424"/>
      <c r="K121" s="1755"/>
      <c r="L121" s="1762"/>
    </row>
    <row r="122" spans="1:12" s="165" customFormat="1">
      <c r="A122" s="172">
        <v>48</v>
      </c>
      <c r="B122" s="452"/>
      <c r="C122" s="457" t="s">
        <v>406</v>
      </c>
      <c r="D122" s="250"/>
      <c r="E122" s="431"/>
      <c r="F122" s="185" t="str">
        <f>"(Line "&amp;A$24&amp;")"</f>
        <v>(Line 5)</v>
      </c>
      <c r="G122" s="463"/>
      <c r="H122" s="246">
        <f>+H24</f>
        <v>0.14248734844503233</v>
      </c>
      <c r="I122" s="246"/>
      <c r="K122" s="1755"/>
      <c r="L122" s="1762"/>
    </row>
    <row r="123" spans="1:12">
      <c r="A123" s="172">
        <v>49</v>
      </c>
      <c r="B123" s="452"/>
      <c r="C123" s="173" t="s">
        <v>429</v>
      </c>
      <c r="D123" s="199"/>
      <c r="E123" s="1374"/>
      <c r="F123" s="178" t="str">
        <f>"(Line "&amp;A121&amp;" * "&amp;A122&amp;")"</f>
        <v>(Line 47 * 48)</v>
      </c>
      <c r="G123" s="455"/>
      <c r="H123" s="459">
        <f>+H121*H122</f>
        <v>0</v>
      </c>
      <c r="I123" s="447"/>
      <c r="K123" s="1755"/>
      <c r="L123" s="1762"/>
    </row>
    <row r="124" spans="1:12">
      <c r="A124" s="172">
        <v>50</v>
      </c>
      <c r="B124" s="452"/>
      <c r="C124" s="173" t="s">
        <v>430</v>
      </c>
      <c r="D124" s="199"/>
      <c r="E124" s="468" t="s">
        <v>1448</v>
      </c>
      <c r="F124" s="457" t="s">
        <v>1376</v>
      </c>
      <c r="G124" s="455"/>
      <c r="H124" s="461">
        <f>+'9 - Rate Base'!E47</f>
        <v>18102044.595194086</v>
      </c>
      <c r="I124" s="264"/>
      <c r="K124" s="1755"/>
      <c r="L124" s="1762"/>
    </row>
    <row r="125" spans="1:12" ht="18" customHeight="1">
      <c r="A125" s="172">
        <v>51</v>
      </c>
      <c r="B125" s="452"/>
      <c r="C125" s="420" t="s">
        <v>431</v>
      </c>
      <c r="D125" s="204"/>
      <c r="E125" s="423"/>
      <c r="F125" s="178" t="str">
        <f>"(Line "&amp;A123&amp;" + "&amp;A124&amp;")"</f>
        <v>(Line 49 + 50)</v>
      </c>
      <c r="G125" s="254"/>
      <c r="H125" s="464">
        <f>SUM(H123:H124)</f>
        <v>18102044.595194086</v>
      </c>
      <c r="I125" s="525"/>
      <c r="K125" s="1755"/>
      <c r="L125" s="1762"/>
    </row>
    <row r="126" spans="1:12">
      <c r="A126" s="172"/>
      <c r="B126" s="452"/>
      <c r="C126" s="173"/>
      <c r="E126" s="1374"/>
      <c r="F126" s="455"/>
      <c r="G126" s="455"/>
    </row>
    <row r="127" spans="1:12">
      <c r="A127" s="172"/>
      <c r="B127" s="173" t="s">
        <v>432</v>
      </c>
      <c r="C127" s="165"/>
      <c r="E127" s="1374"/>
      <c r="F127" s="455"/>
      <c r="G127" s="455"/>
    </row>
    <row r="128" spans="1:12">
      <c r="A128" s="172">
        <v>52</v>
      </c>
      <c r="B128" s="452"/>
      <c r="C128" s="173" t="s">
        <v>433</v>
      </c>
      <c r="D128" s="171"/>
      <c r="E128" s="1374"/>
      <c r="F128" s="178" t="str">
        <f>"(Line "&amp;A$179&amp;")"</f>
        <v>(Line 85)</v>
      </c>
      <c r="G128" s="455"/>
      <c r="H128" s="1004">
        <f>+H179</f>
        <v>57488998.207063451</v>
      </c>
      <c r="I128" s="465"/>
      <c r="J128" s="424"/>
      <c r="K128" s="1755"/>
      <c r="L128" s="1762"/>
    </row>
    <row r="129" spans="1:12">
      <c r="A129" s="172">
        <v>53</v>
      </c>
      <c r="B129" s="452"/>
      <c r="C129" s="198" t="s">
        <v>434</v>
      </c>
      <c r="D129" s="171"/>
      <c r="E129" s="1374"/>
      <c r="F129" s="216" t="s">
        <v>435</v>
      </c>
      <c r="H129" s="246">
        <v>0.125</v>
      </c>
      <c r="I129" s="919"/>
      <c r="K129" s="1755"/>
      <c r="L129" s="1762"/>
    </row>
    <row r="130" spans="1:12" s="257" customFormat="1">
      <c r="A130" s="172">
        <v>54</v>
      </c>
      <c r="B130" s="452"/>
      <c r="C130" s="444" t="s">
        <v>436</v>
      </c>
      <c r="D130" s="206"/>
      <c r="E130" s="423"/>
      <c r="F130" s="178" t="str">
        <f>"(Line "&amp;A128&amp;" * "&amp;A129&amp;")"</f>
        <v>(Line 52 * 53)</v>
      </c>
      <c r="G130" s="421"/>
      <c r="H130" s="1756">
        <f>+H128*H129</f>
        <v>7186124.7758829314</v>
      </c>
      <c r="I130" s="453"/>
      <c r="J130" s="114"/>
      <c r="K130" s="1755"/>
      <c r="L130" s="1762"/>
    </row>
    <row r="131" spans="1:12" s="257" customFormat="1">
      <c r="A131" s="172"/>
      <c r="B131" s="452"/>
      <c r="C131" s="442"/>
      <c r="D131" s="186"/>
      <c r="E131" s="1374"/>
      <c r="F131" s="178"/>
      <c r="G131" s="446"/>
      <c r="H131" s="260"/>
      <c r="I131" s="453"/>
    </row>
    <row r="132" spans="1:12" s="257" customFormat="1">
      <c r="A132" s="114"/>
      <c r="B132" s="442" t="s">
        <v>140</v>
      </c>
      <c r="C132" s="114"/>
      <c r="D132" s="186"/>
      <c r="E132" s="1053"/>
      <c r="F132" s="178"/>
      <c r="G132" s="446"/>
      <c r="H132" s="260"/>
      <c r="I132" s="453"/>
    </row>
    <row r="133" spans="1:12">
      <c r="A133" s="172">
        <v>55</v>
      </c>
      <c r="B133" s="114"/>
      <c r="C133" s="114" t="s">
        <v>437</v>
      </c>
      <c r="D133" s="114"/>
      <c r="E133" s="500" t="str">
        <f>"(Note "&amp;B$358&amp;")"</f>
        <v>(Note N)</v>
      </c>
      <c r="F133" s="114" t="s">
        <v>438</v>
      </c>
      <c r="H133" s="466">
        <f>+'5 - Cost Support 1'!G164</f>
        <v>0</v>
      </c>
      <c r="K133" s="1755"/>
      <c r="L133" s="1762"/>
    </row>
    <row r="134" spans="1:12">
      <c r="A134" s="164">
        <v>56</v>
      </c>
      <c r="B134" s="114"/>
      <c r="C134" s="467" t="s">
        <v>439</v>
      </c>
      <c r="D134" s="467"/>
      <c r="E134" s="468" t="str">
        <f>+E133</f>
        <v>(Note N)</v>
      </c>
      <c r="F134" s="469" t="str">
        <f>+F133</f>
        <v>From PJM</v>
      </c>
      <c r="H134" s="470">
        <f>+'5 - Cost Support 1'!G169</f>
        <v>0</v>
      </c>
      <c r="I134" s="408"/>
      <c r="K134" s="1755"/>
      <c r="L134" s="1762"/>
    </row>
    <row r="135" spans="1:12">
      <c r="A135" s="164">
        <v>57</v>
      </c>
      <c r="B135" s="114"/>
      <c r="C135" s="114" t="s">
        <v>440</v>
      </c>
      <c r="D135" s="114"/>
      <c r="E135" s="1374"/>
      <c r="F135" s="178" t="str">
        <f>"(Line "&amp;A133&amp;" - "&amp;A134&amp;")"</f>
        <v>(Line 55 - 56)</v>
      </c>
      <c r="H135" s="114">
        <f>+H133-H134</f>
        <v>0</v>
      </c>
      <c r="K135" s="1755"/>
      <c r="L135" s="1762"/>
    </row>
    <row r="136" spans="1:12">
      <c r="A136" s="164"/>
      <c r="B136" s="114"/>
      <c r="C136" s="114"/>
      <c r="D136" s="114"/>
      <c r="E136" s="1374"/>
    </row>
    <row r="137" spans="1:12" ht="16" thickBot="1">
      <c r="A137" s="164">
        <v>58</v>
      </c>
      <c r="B137" s="227" t="s">
        <v>441</v>
      </c>
      <c r="C137" s="227"/>
      <c r="D137" s="227"/>
      <c r="E137" s="425"/>
      <c r="F137" s="437" t="str">
        <f>"(Line "&amp;A106&amp;" + "&amp;A108&amp;" + "&amp;A110&amp;" + "&amp;A113&amp;" + "&amp;A117&amp;" + "&amp;A125&amp;" + "&amp;A130&amp;" - "&amp;A135&amp;")"</f>
        <v>(Line 43 + 43a + 43b + 44 + 46 + 51 + 54 - 57)</v>
      </c>
      <c r="G137" s="471"/>
      <c r="H137" s="437">
        <f>SUM(H106,H108,H110,H113,H117,H125,H130)-H135</f>
        <v>-246052478.88783875</v>
      </c>
      <c r="I137" s="525"/>
      <c r="J137" s="424"/>
      <c r="K137" s="1755"/>
      <c r="L137" s="1762"/>
    </row>
    <row r="138" spans="1:12" ht="16" thickTop="1">
      <c r="A138" s="164"/>
      <c r="B138" s="114"/>
      <c r="C138" s="114"/>
      <c r="D138" s="114"/>
      <c r="E138" s="1374"/>
    </row>
    <row r="139" spans="1:12" ht="16" thickBot="1">
      <c r="A139" s="180">
        <v>59</v>
      </c>
      <c r="B139" s="227" t="s">
        <v>442</v>
      </c>
      <c r="C139" s="227"/>
      <c r="D139" s="227"/>
      <c r="E139" s="425"/>
      <c r="F139" s="417" t="str">
        <f>"(Line "&amp;A89&amp;" + "&amp;A137&amp;")"</f>
        <v>(Line 39 + 58)</v>
      </c>
      <c r="G139" s="227"/>
      <c r="H139" s="437">
        <f>+H89+H137</f>
        <v>1047282880.0072933</v>
      </c>
      <c r="I139" s="525"/>
      <c r="J139" s="424"/>
      <c r="K139" s="1755"/>
      <c r="L139" s="1762"/>
    </row>
    <row r="140" spans="1:12" ht="16" thickTop="1">
      <c r="B140" s="114"/>
      <c r="C140" s="114"/>
      <c r="D140" s="114"/>
      <c r="E140" s="1374"/>
    </row>
    <row r="141" spans="1:12" s="165" customFormat="1">
      <c r="A141" s="472" t="s">
        <v>443</v>
      </c>
      <c r="B141" s="473"/>
      <c r="C141" s="474"/>
      <c r="D141" s="234"/>
      <c r="E141" s="1382"/>
      <c r="F141" s="169"/>
      <c r="G141" s="169"/>
      <c r="H141" s="236"/>
      <c r="I141" s="409"/>
      <c r="L141" s="990"/>
    </row>
    <row r="142" spans="1:12" s="165" customFormat="1">
      <c r="A142" s="199"/>
      <c r="B142" s="199"/>
      <c r="C142" s="199"/>
      <c r="D142" s="199"/>
      <c r="E142" s="1383"/>
      <c r="H142" s="409"/>
      <c r="I142" s="409"/>
      <c r="L142" s="990"/>
    </row>
    <row r="143" spans="1:12">
      <c r="A143" s="180"/>
      <c r="B143" s="203" t="s">
        <v>190</v>
      </c>
      <c r="D143" s="187"/>
      <c r="E143" s="238"/>
      <c r="G143" s="187"/>
      <c r="H143" s="187"/>
      <c r="I143" s="188"/>
    </row>
    <row r="144" spans="1:12">
      <c r="A144" s="180">
        <v>60</v>
      </c>
      <c r="B144" s="180"/>
      <c r="C144" s="203" t="s">
        <v>190</v>
      </c>
      <c r="D144" s="199"/>
      <c r="E144" s="1374"/>
      <c r="F144" s="188" t="s">
        <v>1203</v>
      </c>
      <c r="G144" s="172"/>
      <c r="H144" s="422">
        <f>+'11A - O&amp;M'!G40</f>
        <v>34240497</v>
      </c>
      <c r="I144" s="188"/>
      <c r="K144" s="1755"/>
      <c r="L144" s="1762"/>
    </row>
    <row r="145" spans="1:12">
      <c r="A145" s="180">
        <v>61</v>
      </c>
      <c r="B145" s="180"/>
      <c r="C145" s="203" t="s">
        <v>444</v>
      </c>
      <c r="D145" s="199"/>
      <c r="E145" s="1374"/>
      <c r="F145" s="188" t="s">
        <v>425</v>
      </c>
      <c r="G145" s="172"/>
      <c r="H145" s="188">
        <f>'5 - Cost Support 1'!G177</f>
        <v>0</v>
      </c>
      <c r="I145" s="188"/>
      <c r="K145" s="1755"/>
      <c r="L145" s="1762"/>
    </row>
    <row r="146" spans="1:12">
      <c r="A146" s="180">
        <v>62</v>
      </c>
      <c r="B146" s="180"/>
      <c r="C146" s="203" t="s">
        <v>445</v>
      </c>
      <c r="D146" s="199"/>
      <c r="E146" s="1374"/>
      <c r="F146" s="188" t="s">
        <v>425</v>
      </c>
      <c r="G146" s="172"/>
      <c r="H146" s="188">
        <f>'5 - Cost Support 1'!J178</f>
        <v>0</v>
      </c>
      <c r="I146" s="188"/>
      <c r="K146" s="1755"/>
      <c r="L146" s="1762"/>
    </row>
    <row r="147" spans="1:12">
      <c r="A147" s="172">
        <v>63</v>
      </c>
      <c r="B147" s="180"/>
      <c r="C147" s="203" t="s">
        <v>446</v>
      </c>
      <c r="D147" s="199"/>
      <c r="E147" s="1374"/>
      <c r="F147" s="188" t="s">
        <v>447</v>
      </c>
      <c r="G147" s="199"/>
      <c r="H147" s="422">
        <v>0</v>
      </c>
      <c r="I147" s="188"/>
      <c r="K147" s="1755"/>
      <c r="L147" s="1762"/>
    </row>
    <row r="148" spans="1:12">
      <c r="A148" s="172" t="s">
        <v>905</v>
      </c>
      <c r="B148" s="172"/>
      <c r="C148" s="203" t="s">
        <v>906</v>
      </c>
      <c r="D148" s="199"/>
      <c r="E148" s="1374"/>
      <c r="F148" s="188" t="s">
        <v>1060</v>
      </c>
      <c r="G148" s="199"/>
      <c r="H148" s="422">
        <f>+'10 - Merger Costs'!G7</f>
        <v>0</v>
      </c>
      <c r="I148" s="188"/>
      <c r="K148" s="1755"/>
      <c r="L148" s="1762"/>
    </row>
    <row r="149" spans="1:12">
      <c r="A149" s="172">
        <v>64</v>
      </c>
      <c r="B149" s="172"/>
      <c r="C149" s="203" t="s">
        <v>448</v>
      </c>
      <c r="D149" s="199"/>
      <c r="E149" s="500" t="str">
        <f>"(Note "&amp;B$361&amp;")"</f>
        <v>(Note O)</v>
      </c>
      <c r="F149" s="188" t="s">
        <v>449</v>
      </c>
      <c r="G149" s="199"/>
      <c r="H149" s="422">
        <v>0</v>
      </c>
      <c r="I149" s="188"/>
      <c r="J149" s="475"/>
      <c r="K149" s="1755"/>
      <c r="L149" s="1762"/>
    </row>
    <row r="150" spans="1:12">
      <c r="A150" s="172">
        <v>65</v>
      </c>
      <c r="B150" s="180"/>
      <c r="C150" s="203" t="s">
        <v>450</v>
      </c>
      <c r="D150" s="188"/>
      <c r="E150" s="468" t="str">
        <f>"(Note "&amp;B$341&amp;")"</f>
        <v>(Note A)</v>
      </c>
      <c r="F150" s="194" t="s">
        <v>451</v>
      </c>
      <c r="G150" s="199"/>
      <c r="H150" s="432">
        <v>0</v>
      </c>
      <c r="I150" s="179"/>
      <c r="K150" s="1755"/>
      <c r="L150" s="1762"/>
    </row>
    <row r="151" spans="1:12">
      <c r="A151" s="172">
        <v>66</v>
      </c>
      <c r="B151" s="199"/>
      <c r="C151" s="201" t="s">
        <v>190</v>
      </c>
      <c r="D151" s="200"/>
      <c r="E151" s="423"/>
      <c r="F151" s="179" t="str">
        <f>"(Lines "&amp;A144&amp;" - "&amp;A145&amp;" + "&amp;A146&amp;" - "&amp;A147&amp;" - "&amp;A148&amp;" + "&amp;A149&amp;" + "&amp;A150&amp;")"</f>
        <v>(Lines 60 - 61 + 62 - 63 - 63a + 64 + 65)</v>
      </c>
      <c r="G151" s="420"/>
      <c r="H151" s="202">
        <f>+H144-H145+H146-H147-H148+H149+H150</f>
        <v>34240497</v>
      </c>
      <c r="I151" s="179"/>
      <c r="K151" s="1755"/>
      <c r="L151" s="1762"/>
    </row>
    <row r="152" spans="1:12">
      <c r="A152" s="172"/>
      <c r="B152" s="172"/>
      <c r="C152" s="203"/>
      <c r="D152" s="199"/>
      <c r="E152" s="238"/>
      <c r="F152" s="199"/>
      <c r="G152" s="199"/>
      <c r="H152" s="419"/>
      <c r="I152" s="915"/>
    </row>
    <row r="153" spans="1:12">
      <c r="A153" s="172"/>
      <c r="B153" s="203" t="s">
        <v>74</v>
      </c>
      <c r="C153" s="199"/>
      <c r="D153" s="199"/>
      <c r="E153" s="238"/>
      <c r="F153" s="199"/>
      <c r="G153" s="199"/>
      <c r="H153" s="419"/>
      <c r="I153" s="915"/>
    </row>
    <row r="154" spans="1:12">
      <c r="A154" s="172">
        <v>67</v>
      </c>
      <c r="B154" s="172"/>
      <c r="C154" s="203" t="s">
        <v>452</v>
      </c>
      <c r="D154" s="199"/>
      <c r="E154" s="500" t="str">
        <f>"(Note "&amp;B$341&amp;")"</f>
        <v>(Note A)</v>
      </c>
      <c r="F154" s="187" t="s">
        <v>393</v>
      </c>
      <c r="G154" s="199"/>
      <c r="H154" s="422">
        <v>0</v>
      </c>
      <c r="I154" s="188"/>
      <c r="K154" s="1755"/>
      <c r="L154" s="1762"/>
    </row>
    <row r="155" spans="1:12">
      <c r="A155" s="172">
        <v>68</v>
      </c>
      <c r="B155" s="172"/>
      <c r="C155" s="203" t="s">
        <v>191</v>
      </c>
      <c r="D155" s="199"/>
      <c r="E155" s="1374"/>
      <c r="F155" s="188" t="s">
        <v>1204</v>
      </c>
      <c r="G155" s="199"/>
      <c r="H155" s="422">
        <f>+'11B - A&amp;G'!E24</f>
        <v>165903458</v>
      </c>
      <c r="I155" s="188"/>
      <c r="K155" s="1755"/>
      <c r="L155" s="1762"/>
    </row>
    <row r="156" spans="1:12">
      <c r="A156" s="172" t="s">
        <v>453</v>
      </c>
      <c r="B156" s="172"/>
      <c r="C156" s="203" t="s">
        <v>454</v>
      </c>
      <c r="D156" s="199"/>
      <c r="E156" s="500" t="s">
        <v>455</v>
      </c>
      <c r="F156" s="188" t="s">
        <v>425</v>
      </c>
      <c r="G156" s="476"/>
      <c r="H156" s="422">
        <f>+'5 - Cost Support 1'!I272</f>
        <v>126569</v>
      </c>
      <c r="I156" s="188"/>
      <c r="K156" s="1755"/>
      <c r="L156" s="1768"/>
    </row>
    <row r="157" spans="1:12">
      <c r="A157" s="172" t="s">
        <v>907</v>
      </c>
      <c r="B157" s="172"/>
      <c r="C157" s="203" t="s">
        <v>908</v>
      </c>
      <c r="D157" s="199"/>
      <c r="E157" s="1374"/>
      <c r="F157" s="188" t="s">
        <v>1061</v>
      </c>
      <c r="G157" s="199"/>
      <c r="H157" s="422">
        <f>+'10 - Merger Costs'!C8</f>
        <v>0</v>
      </c>
      <c r="I157" s="188"/>
      <c r="K157" s="1755"/>
      <c r="L157" s="1762"/>
    </row>
    <row r="158" spans="1:12">
      <c r="A158" s="172" t="s">
        <v>1398</v>
      </c>
      <c r="B158" s="172"/>
      <c r="C158" s="203" t="s">
        <v>1399</v>
      </c>
      <c r="D158" s="199"/>
      <c r="E158" s="1374"/>
      <c r="F158" s="188" t="s">
        <v>425</v>
      </c>
      <c r="G158" s="199"/>
      <c r="H158" s="422">
        <f>+'5 - Cost Support 1'!I254+'5 - Cost Support 1'!J254+'5 - Cost Support 1'!K254+'5 - Cost Support 1'!L254+'5 - Cost Support 1'!M254+'5 - Cost Support 1'!N254+'5 - Cost Support 1'!O254+'5 - Cost Support 1'!P254</f>
        <v>1622431.24</v>
      </c>
      <c r="I158" s="188"/>
      <c r="K158" s="1755"/>
      <c r="L158" s="1762"/>
    </row>
    <row r="159" spans="1:12">
      <c r="A159" s="172">
        <v>69</v>
      </c>
      <c r="B159" s="172"/>
      <c r="C159" s="203" t="s">
        <v>456</v>
      </c>
      <c r="D159" s="188"/>
      <c r="E159" s="1374"/>
      <c r="F159" s="203" t="s">
        <v>457</v>
      </c>
      <c r="G159" s="176"/>
      <c r="H159" s="422">
        <f>+'11B - A&amp;G'!E14</f>
        <v>1683262</v>
      </c>
      <c r="I159" s="188"/>
      <c r="K159" s="1755"/>
      <c r="L159" s="1762"/>
    </row>
    <row r="160" spans="1:12">
      <c r="A160" s="172">
        <v>70</v>
      </c>
      <c r="B160" s="172"/>
      <c r="C160" s="203" t="s">
        <v>458</v>
      </c>
      <c r="D160" s="188"/>
      <c r="E160" s="500" t="str">
        <f>"(Note "&amp;B$349&amp;")"</f>
        <v>(Note E)</v>
      </c>
      <c r="F160" s="203" t="s">
        <v>83</v>
      </c>
      <c r="G160" s="176"/>
      <c r="H160" s="422">
        <f>+'11B - A&amp;G'!E18</f>
        <v>3098865</v>
      </c>
      <c r="I160" s="188"/>
      <c r="K160" s="1755"/>
      <c r="L160" s="1762"/>
    </row>
    <row r="161" spans="1:12">
      <c r="A161" s="172">
        <v>71</v>
      </c>
      <c r="B161" s="172"/>
      <c r="C161" s="203" t="s">
        <v>459</v>
      </c>
      <c r="D161" s="188"/>
      <c r="E161" s="1374"/>
      <c r="F161" s="203" t="s">
        <v>460</v>
      </c>
      <c r="G161" s="176"/>
      <c r="H161" s="422">
        <f>+'11B - A&amp;G'!E20</f>
        <v>1404879</v>
      </c>
      <c r="I161" s="188"/>
      <c r="K161" s="1755"/>
      <c r="L161" s="1762"/>
    </row>
    <row r="162" spans="1:12">
      <c r="A162" s="172">
        <v>72</v>
      </c>
      <c r="B162" s="172"/>
      <c r="C162" s="203" t="s">
        <v>461</v>
      </c>
      <c r="D162" s="188"/>
      <c r="E162" s="1374"/>
      <c r="F162" s="203" t="s">
        <v>462</v>
      </c>
      <c r="G162" s="176"/>
      <c r="H162" s="422">
        <v>0</v>
      </c>
      <c r="I162" s="188"/>
      <c r="K162" s="1755"/>
      <c r="L162" s="1762"/>
    </row>
    <row r="163" spans="1:12">
      <c r="A163" s="172">
        <v>73</v>
      </c>
      <c r="B163" s="172"/>
      <c r="C163" s="203" t="s">
        <v>463</v>
      </c>
      <c r="D163" s="114"/>
      <c r="E163" s="500" t="str">
        <f>"(Note "&amp;B$348&amp;")"</f>
        <v>(Note D)</v>
      </c>
      <c r="F163" s="194" t="s">
        <v>464</v>
      </c>
      <c r="G163" s="199"/>
      <c r="H163" s="422">
        <v>0</v>
      </c>
      <c r="I163" s="188"/>
      <c r="K163" s="1761"/>
      <c r="L163" s="1762"/>
    </row>
    <row r="164" spans="1:12">
      <c r="A164" s="172">
        <v>74</v>
      </c>
      <c r="B164" s="172"/>
      <c r="C164" s="201" t="s">
        <v>465</v>
      </c>
      <c r="D164" s="200"/>
      <c r="E164" s="414"/>
      <c r="F164" s="178" t="str">
        <f>"(Lines "&amp;A154&amp;" + "&amp;A155&amp;") -  Sum ("&amp;A157&amp;" to "&amp;A163&amp;")"</f>
        <v>(Lines 67 + 68) -  Sum (68b to 73)</v>
      </c>
      <c r="G164" s="204"/>
      <c r="H164" s="207">
        <f>H154+H155-SUM(H157:H163)</f>
        <v>158094020.75999999</v>
      </c>
      <c r="I164" s="179"/>
      <c r="K164" s="1755"/>
      <c r="L164" s="1762"/>
    </row>
    <row r="165" spans="1:12">
      <c r="A165" s="172">
        <v>75</v>
      </c>
      <c r="B165" s="172"/>
      <c r="C165" s="173" t="s">
        <v>406</v>
      </c>
      <c r="D165" s="198"/>
      <c r="E165" s="1374"/>
      <c r="F165" s="477" t="s">
        <v>972</v>
      </c>
      <c r="G165" s="455"/>
      <c r="H165" s="481">
        <f>+H24</f>
        <v>0.14248734844503233</v>
      </c>
      <c r="I165" s="918"/>
      <c r="K165" s="1755"/>
      <c r="L165" s="1762"/>
    </row>
    <row r="166" spans="1:12">
      <c r="A166" s="172">
        <v>76</v>
      </c>
      <c r="B166" s="172"/>
      <c r="C166" s="201" t="s">
        <v>466</v>
      </c>
      <c r="D166" s="200"/>
      <c r="E166" s="414"/>
      <c r="F166" s="178" t="s">
        <v>980</v>
      </c>
      <c r="G166" s="204"/>
      <c r="H166" s="207">
        <f>+H165*H164</f>
        <v>22526397.823106293</v>
      </c>
      <c r="I166" s="179"/>
      <c r="K166" s="1755"/>
      <c r="L166" s="1762"/>
    </row>
    <row r="167" spans="1:12">
      <c r="A167" s="172"/>
      <c r="B167" s="172"/>
      <c r="C167" s="209"/>
      <c r="D167" s="256"/>
      <c r="E167" s="238"/>
      <c r="F167" s="175"/>
      <c r="G167" s="175"/>
      <c r="H167" s="178"/>
      <c r="I167" s="179"/>
    </row>
    <row r="168" spans="1:12">
      <c r="A168" s="172"/>
      <c r="B168" s="203" t="s">
        <v>80</v>
      </c>
      <c r="C168" s="165"/>
      <c r="D168" s="256"/>
      <c r="E168" s="238"/>
      <c r="F168" s="175"/>
      <c r="G168" s="175"/>
      <c r="H168" s="178"/>
      <c r="I168" s="179"/>
    </row>
    <row r="169" spans="1:12">
      <c r="A169" s="172">
        <v>77</v>
      </c>
      <c r="B169" s="452"/>
      <c r="C169" s="173" t="s">
        <v>81</v>
      </c>
      <c r="D169" s="478"/>
      <c r="E169" s="500" t="str">
        <f>"(Note "&amp;B$351&amp;")"</f>
        <v>(Note G)</v>
      </c>
      <c r="F169" s="173" t="s">
        <v>83</v>
      </c>
      <c r="G169" s="165"/>
      <c r="H169" s="461">
        <f>+'11B - A&amp;G'!J18</f>
        <v>417493</v>
      </c>
      <c r="I169" s="264"/>
      <c r="K169" s="1755"/>
      <c r="L169" s="1762"/>
    </row>
    <row r="170" spans="1:12">
      <c r="A170" s="180">
        <v>78</v>
      </c>
      <c r="B170" s="452"/>
      <c r="C170" s="457" t="s">
        <v>467</v>
      </c>
      <c r="D170" s="479"/>
      <c r="E170" s="468" t="str">
        <f>"(Note "&amp;B$355&amp;")"</f>
        <v>(Note K)</v>
      </c>
      <c r="F170" s="457" t="s">
        <v>460</v>
      </c>
      <c r="G170" s="165"/>
      <c r="H170" s="480">
        <f>'5 - Cost Support 1'!H58</f>
        <v>0</v>
      </c>
      <c r="I170" s="447"/>
      <c r="K170" s="1755"/>
      <c r="L170" s="1762"/>
    </row>
    <row r="171" spans="1:12">
      <c r="A171" s="180">
        <v>79</v>
      </c>
      <c r="B171" s="452"/>
      <c r="C171" s="173" t="s">
        <v>468</v>
      </c>
      <c r="D171" s="199"/>
      <c r="E171" s="1384"/>
      <c r="F171" s="178" t="s">
        <v>982</v>
      </c>
      <c r="G171" s="165"/>
      <c r="H171" s="264">
        <f>+H170+H169</f>
        <v>417493</v>
      </c>
      <c r="I171" s="264"/>
      <c r="K171" s="1755"/>
      <c r="L171" s="1762"/>
    </row>
    <row r="172" spans="1:12">
      <c r="A172" s="172"/>
      <c r="B172" s="452"/>
      <c r="C172" s="173"/>
      <c r="D172" s="199"/>
      <c r="E172" s="1384"/>
      <c r="F172" s="173"/>
      <c r="G172" s="165"/>
      <c r="H172" s="458"/>
      <c r="I172" s="458"/>
    </row>
    <row r="173" spans="1:12">
      <c r="A173" s="180">
        <v>80</v>
      </c>
      <c r="B173" s="452"/>
      <c r="C173" s="173" t="s">
        <v>469</v>
      </c>
      <c r="D173" s="199"/>
      <c r="E173" s="1374"/>
      <c r="F173" s="173" t="s">
        <v>457</v>
      </c>
      <c r="G173" s="165"/>
      <c r="H173" s="461">
        <f>H159</f>
        <v>1683262</v>
      </c>
      <c r="I173" s="264"/>
      <c r="K173" s="1755"/>
      <c r="L173" s="1762"/>
    </row>
    <row r="174" spans="1:12">
      <c r="A174" s="180">
        <v>81</v>
      </c>
      <c r="B174" s="452"/>
      <c r="C174" s="173" t="s">
        <v>467</v>
      </c>
      <c r="D174" s="199"/>
      <c r="E174" s="500" t="str">
        <f>"(Note "&amp;B$350&amp;")"</f>
        <v>(Note F)</v>
      </c>
      <c r="F174" s="457" t="s">
        <v>460</v>
      </c>
      <c r="G174" s="165"/>
      <c r="H174" s="480">
        <f>+'5 - Cost Support 1'!H71</f>
        <v>0</v>
      </c>
      <c r="I174" s="264"/>
      <c r="K174" s="1755"/>
      <c r="L174" s="1762"/>
    </row>
    <row r="175" spans="1:12">
      <c r="A175" s="172">
        <v>82</v>
      </c>
      <c r="B175" s="452"/>
      <c r="C175" s="444" t="s">
        <v>59</v>
      </c>
      <c r="D175" s="200"/>
      <c r="E175" s="423"/>
      <c r="F175" s="178" t="s">
        <v>983</v>
      </c>
      <c r="G175" s="420"/>
      <c r="H175" s="1004">
        <f>+H173+H174</f>
        <v>1683262</v>
      </c>
      <c r="I175" s="447"/>
      <c r="K175" s="1755"/>
      <c r="L175" s="1762"/>
    </row>
    <row r="176" spans="1:12">
      <c r="A176" s="180">
        <v>83</v>
      </c>
      <c r="B176" s="172"/>
      <c r="C176" s="443" t="s">
        <v>236</v>
      </c>
      <c r="D176" s="198"/>
      <c r="E176" s="1374"/>
      <c r="F176" s="185" t="s">
        <v>974</v>
      </c>
      <c r="G176" s="455"/>
      <c r="H176" s="481">
        <f>+H48</f>
        <v>0.18096433232447492</v>
      </c>
      <c r="I176" s="246"/>
      <c r="K176" s="1755"/>
      <c r="L176" s="1762"/>
    </row>
    <row r="177" spans="1:12">
      <c r="A177" s="172">
        <v>84</v>
      </c>
      <c r="B177" s="172"/>
      <c r="C177" s="201" t="s">
        <v>470</v>
      </c>
      <c r="D177" s="200"/>
      <c r="E177" s="414"/>
      <c r="F177" s="178" t="s">
        <v>984</v>
      </c>
      <c r="G177" s="204"/>
      <c r="H177" s="445">
        <f>+H176*H175</f>
        <v>304610.38395716029</v>
      </c>
      <c r="I177" s="447"/>
      <c r="K177" s="1755"/>
      <c r="L177" s="1762"/>
    </row>
    <row r="178" spans="1:12">
      <c r="A178" s="180"/>
      <c r="B178" s="180"/>
      <c r="C178" s="203"/>
      <c r="D178" s="199"/>
      <c r="E178" s="238"/>
      <c r="F178" s="176"/>
      <c r="G178" s="176"/>
      <c r="H178" s="178"/>
      <c r="I178" s="179"/>
    </row>
    <row r="179" spans="1:12" ht="16" thickBot="1">
      <c r="A179" s="180">
        <v>85</v>
      </c>
      <c r="B179" s="180"/>
      <c r="C179" s="415" t="s">
        <v>471</v>
      </c>
      <c r="D179" s="416"/>
      <c r="E179" s="482"/>
      <c r="F179" s="417" t="s">
        <v>985</v>
      </c>
      <c r="G179" s="418"/>
      <c r="H179" s="417">
        <f>+H151+H166+H171+H177</f>
        <v>57488998.207063451</v>
      </c>
      <c r="I179" s="179"/>
      <c r="K179" s="1755"/>
      <c r="L179" s="1762"/>
    </row>
    <row r="180" spans="1:12" ht="16" thickTop="1">
      <c r="A180" s="180"/>
      <c r="B180" s="180"/>
      <c r="C180" s="209"/>
      <c r="D180" s="256"/>
      <c r="E180" s="238"/>
      <c r="F180" s="178"/>
      <c r="G180" s="175"/>
      <c r="H180" s="178"/>
      <c r="I180" s="179"/>
    </row>
    <row r="181" spans="1:12">
      <c r="A181" s="181"/>
      <c r="B181" s="180"/>
      <c r="C181" s="203"/>
      <c r="D181" s="199"/>
      <c r="E181" s="238"/>
      <c r="F181" s="176"/>
      <c r="G181" s="176"/>
      <c r="H181" s="419"/>
      <c r="I181" s="915"/>
    </row>
    <row r="182" spans="1:12">
      <c r="A182" s="472" t="s">
        <v>472</v>
      </c>
      <c r="B182" s="473"/>
      <c r="C182" s="474"/>
      <c r="D182" s="234"/>
      <c r="E182" s="1382"/>
      <c r="F182" s="169"/>
      <c r="G182" s="169"/>
      <c r="H182" s="236"/>
      <c r="I182" s="409"/>
    </row>
    <row r="183" spans="1:12">
      <c r="A183" s="203"/>
      <c r="B183" s="180"/>
      <c r="C183" s="203"/>
      <c r="D183" s="199"/>
      <c r="E183" s="238"/>
      <c r="F183" s="176"/>
      <c r="G183" s="176"/>
      <c r="H183" s="419"/>
      <c r="I183" s="915"/>
    </row>
    <row r="184" spans="1:12">
      <c r="A184" s="164"/>
      <c r="B184" s="181" t="s">
        <v>75</v>
      </c>
      <c r="C184" s="114"/>
      <c r="E184" s="1374"/>
      <c r="F184" s="215"/>
      <c r="G184" s="215"/>
      <c r="H184" s="483"/>
      <c r="I184" s="920"/>
    </row>
    <row r="185" spans="1:12">
      <c r="A185" s="180">
        <v>86</v>
      </c>
      <c r="B185" s="434"/>
      <c r="C185" s="173" t="s">
        <v>473</v>
      </c>
      <c r="E185" s="1374"/>
      <c r="F185" s="173" t="s">
        <v>1044</v>
      </c>
      <c r="H185" s="461">
        <f>+'5 - Cost Support 1'!I262</f>
        <v>30792514</v>
      </c>
      <c r="I185" s="264"/>
      <c r="K185" s="1755"/>
      <c r="L185" s="1762"/>
    </row>
    <row r="186" spans="1:12">
      <c r="A186" s="180"/>
      <c r="B186" s="434"/>
      <c r="C186" s="173"/>
      <c r="E186" s="1374"/>
      <c r="F186" s="181"/>
      <c r="H186" s="465"/>
      <c r="I186" s="465"/>
    </row>
    <row r="187" spans="1:12">
      <c r="A187" s="484" t="s">
        <v>474</v>
      </c>
      <c r="B187" s="484"/>
      <c r="C187" s="449" t="s">
        <v>475</v>
      </c>
      <c r="D187" s="449"/>
      <c r="E187" s="484"/>
      <c r="F187" s="890" t="s">
        <v>425</v>
      </c>
      <c r="H187" s="461">
        <f>+'5 - Cost Support 1'!E218</f>
        <v>123294.47199999998</v>
      </c>
      <c r="I187" s="264"/>
      <c r="K187" s="1755"/>
      <c r="L187" s="1762"/>
    </row>
    <row r="188" spans="1:12">
      <c r="A188" s="180"/>
      <c r="B188" s="434"/>
      <c r="C188" s="181"/>
      <c r="E188" s="1374"/>
      <c r="F188" s="181"/>
      <c r="G188" s="455"/>
      <c r="H188" s="460"/>
      <c r="I188" s="918"/>
    </row>
    <row r="189" spans="1:12">
      <c r="A189" s="180">
        <v>87</v>
      </c>
      <c r="B189" s="434"/>
      <c r="C189" s="442" t="s">
        <v>192</v>
      </c>
      <c r="D189" s="175"/>
      <c r="E189" s="1374"/>
      <c r="F189" s="442" t="s">
        <v>1045</v>
      </c>
      <c r="H189" s="461">
        <f>+'5 - Cost Support 1'!G263</f>
        <v>13914070</v>
      </c>
      <c r="I189" s="264"/>
      <c r="K189" s="1755"/>
      <c r="L189" s="1762"/>
    </row>
    <row r="190" spans="1:12">
      <c r="A190" s="180" t="s">
        <v>960</v>
      </c>
      <c r="B190" s="452"/>
      <c r="C190" s="203" t="s">
        <v>908</v>
      </c>
      <c r="D190" s="199"/>
      <c r="E190" s="1374"/>
      <c r="F190" s="442" t="s">
        <v>1043</v>
      </c>
      <c r="H190" s="448">
        <f>+'10 - Merger Costs'!C14</f>
        <v>0</v>
      </c>
      <c r="I190" s="447"/>
      <c r="K190" s="1755"/>
      <c r="L190" s="1762"/>
    </row>
    <row r="191" spans="1:12">
      <c r="A191" s="180">
        <v>88</v>
      </c>
      <c r="B191" s="434"/>
      <c r="C191" s="442" t="s">
        <v>476</v>
      </c>
      <c r="D191" s="175"/>
      <c r="E191" s="500" t="str">
        <f>"(Note "&amp;B$341&amp;")"</f>
        <v>(Note A)</v>
      </c>
      <c r="F191" s="442" t="s">
        <v>1046</v>
      </c>
      <c r="H191" s="448">
        <f>+'5 - Cost Support 1'!G264</f>
        <v>33934632</v>
      </c>
      <c r="I191" s="447"/>
      <c r="K191" s="1755"/>
      <c r="L191" s="1762"/>
    </row>
    <row r="192" spans="1:12">
      <c r="A192" s="180" t="s">
        <v>961</v>
      </c>
      <c r="B192" s="452"/>
      <c r="C192" s="526" t="s">
        <v>908</v>
      </c>
      <c r="D192" s="477"/>
      <c r="E192" s="468"/>
      <c r="F192" s="457" t="s">
        <v>1165</v>
      </c>
      <c r="G192" s="467"/>
      <c r="H192" s="480">
        <f>+'10 - Merger Costs'!C15</f>
        <v>0</v>
      </c>
      <c r="I192" s="447"/>
      <c r="K192" s="1755"/>
      <c r="L192" s="1762"/>
    </row>
    <row r="193" spans="1:12">
      <c r="A193" s="180">
        <v>89</v>
      </c>
      <c r="B193" s="434"/>
      <c r="C193" s="210" t="s">
        <v>59</v>
      </c>
      <c r="D193" s="175"/>
      <c r="E193" s="1374"/>
      <c r="F193" s="179" t="str">
        <f>"(Line "&amp;87&amp;" - "&amp;A190&amp;" + "&amp;88&amp;" - "&amp;A192&amp;")"</f>
        <v>(Line 87 - 87a + 88 - 88a)</v>
      </c>
      <c r="H193" s="445">
        <f>H189-H190+H191-H192</f>
        <v>47848702</v>
      </c>
      <c r="I193" s="447"/>
      <c r="K193" s="1755"/>
      <c r="L193" s="1762"/>
    </row>
    <row r="194" spans="1:12">
      <c r="A194" s="180">
        <v>90</v>
      </c>
      <c r="B194" s="434"/>
      <c r="C194" s="249" t="s">
        <v>406</v>
      </c>
      <c r="D194" s="250"/>
      <c r="E194" s="431"/>
      <c r="F194" s="477" t="str">
        <f>"(Line "&amp;A$24&amp;")"</f>
        <v>(Line 5)</v>
      </c>
      <c r="G194" s="463"/>
      <c r="H194" s="1813">
        <f>+H24</f>
        <v>0.14248734844503233</v>
      </c>
      <c r="I194" s="921"/>
      <c r="K194" s="1755"/>
      <c r="L194" s="1762"/>
    </row>
    <row r="195" spans="1:12">
      <c r="A195" s="180">
        <v>91</v>
      </c>
      <c r="B195" s="434"/>
      <c r="C195" s="181" t="s">
        <v>477</v>
      </c>
      <c r="E195" s="1374"/>
      <c r="F195" s="178" t="str">
        <f>"(Line "&amp;A193&amp;" * "&amp;A194&amp;")"</f>
        <v>(Line 89 * 90)</v>
      </c>
      <c r="G195" s="455"/>
      <c r="H195" s="445">
        <f>+H193*H194</f>
        <v>6817834.6745165158</v>
      </c>
      <c r="I195" s="447"/>
      <c r="K195" s="1755"/>
      <c r="L195" s="1762"/>
    </row>
    <row r="196" spans="1:12">
      <c r="A196" s="172"/>
      <c r="B196" s="452"/>
      <c r="C196" s="173"/>
      <c r="D196" s="199"/>
      <c r="E196" s="1374"/>
      <c r="F196" s="173"/>
      <c r="G196" s="455"/>
      <c r="H196" s="485"/>
      <c r="I196" s="465"/>
    </row>
    <row r="197" spans="1:12">
      <c r="A197" s="180">
        <v>92</v>
      </c>
      <c r="B197" s="452"/>
      <c r="C197" s="173" t="s">
        <v>478</v>
      </c>
      <c r="D197" s="199"/>
      <c r="E197" s="500" t="str">
        <f>"(Note "&amp;B$341&amp;")"</f>
        <v>(Note A)</v>
      </c>
      <c r="F197" s="173" t="s">
        <v>1047</v>
      </c>
      <c r="H197" s="486">
        <f>+'5 - Cost Support 1'!I265</f>
        <v>0</v>
      </c>
      <c r="I197" s="465"/>
      <c r="K197" s="1755"/>
      <c r="L197" s="1762"/>
    </row>
    <row r="198" spans="1:12">
      <c r="A198" s="172">
        <v>93</v>
      </c>
      <c r="B198" s="452"/>
      <c r="C198" s="457" t="s">
        <v>479</v>
      </c>
      <c r="D198" s="477"/>
      <c r="E198" s="468" t="str">
        <f>"(Note "&amp;B$341&amp;")"</f>
        <v>(Note A)</v>
      </c>
      <c r="F198" s="457" t="s">
        <v>1048</v>
      </c>
      <c r="G198" s="467"/>
      <c r="H198" s="487">
        <f>+'5 - Cost Support 1'!I266</f>
        <v>0</v>
      </c>
      <c r="I198" s="453"/>
      <c r="K198" s="1755"/>
      <c r="L198" s="1762"/>
    </row>
    <row r="199" spans="1:12">
      <c r="A199" s="172">
        <v>94</v>
      </c>
      <c r="B199" s="452"/>
      <c r="C199" s="173" t="s">
        <v>59</v>
      </c>
      <c r="D199" s="199"/>
      <c r="E199" s="1374"/>
      <c r="F199" s="178" t="str">
        <f>"(Line "&amp;A197&amp;" + "&amp;A198&amp;")"</f>
        <v>(Line 92 + 93)</v>
      </c>
      <c r="H199" s="465">
        <f>+H198+H197</f>
        <v>0</v>
      </c>
      <c r="I199" s="465"/>
      <c r="K199" s="1755"/>
      <c r="L199" s="1762"/>
    </row>
    <row r="200" spans="1:12">
      <c r="A200" s="180">
        <v>95</v>
      </c>
      <c r="B200" s="452"/>
      <c r="C200" s="249" t="s">
        <v>406</v>
      </c>
      <c r="D200" s="250"/>
      <c r="E200" s="431"/>
      <c r="F200" s="477" t="str">
        <f>"(Line "&amp;A$24&amp;")"</f>
        <v>(Line 5)</v>
      </c>
      <c r="G200" s="463"/>
      <c r="H200" s="1813">
        <f>+H24</f>
        <v>0.14248734844503233</v>
      </c>
      <c r="I200" s="921"/>
      <c r="K200" s="1755"/>
      <c r="L200" s="1762"/>
    </row>
    <row r="201" spans="1:12">
      <c r="A201" s="180">
        <v>96</v>
      </c>
      <c r="B201" s="452"/>
      <c r="C201" s="181" t="s">
        <v>480</v>
      </c>
      <c r="D201" s="199"/>
      <c r="E201" s="1374"/>
      <c r="F201" s="178" t="str">
        <f>"(Line "&amp;A199&amp;" * "&amp;A200&amp;")"</f>
        <v>(Line 94 * 95)</v>
      </c>
      <c r="G201" s="455"/>
      <c r="H201" s="260">
        <f>+H200*H199</f>
        <v>0</v>
      </c>
      <c r="I201" s="453"/>
      <c r="K201" s="1755"/>
      <c r="L201" s="1762"/>
    </row>
    <row r="202" spans="1:12">
      <c r="A202" s="172"/>
      <c r="B202" s="452"/>
      <c r="C202" s="114"/>
      <c r="D202" s="199"/>
      <c r="E202" s="1374"/>
      <c r="F202" s="173"/>
      <c r="G202" s="455"/>
      <c r="H202" s="260"/>
      <c r="I202" s="453"/>
    </row>
    <row r="203" spans="1:12">
      <c r="A203" s="488"/>
      <c r="B203" s="489"/>
      <c r="C203" s="173"/>
      <c r="D203" s="199"/>
      <c r="E203" s="1374"/>
      <c r="F203" s="173"/>
      <c r="G203" s="455"/>
      <c r="H203" s="460"/>
      <c r="I203" s="918"/>
    </row>
    <row r="204" spans="1:12" s="257" customFormat="1" ht="16" thickBot="1">
      <c r="A204" s="180">
        <v>97</v>
      </c>
      <c r="B204" s="490" t="s">
        <v>481</v>
      </c>
      <c r="C204" s="491"/>
      <c r="D204" s="418"/>
      <c r="E204" s="425"/>
      <c r="F204" s="417" t="str">
        <f>"(Line "&amp;A185&amp;" + "&amp;A187&amp;" + "&amp;A195&amp;" + "&amp;A201&amp;")"</f>
        <v>(Line 86 + 86a + 91 + 96)</v>
      </c>
      <c r="G204" s="492"/>
      <c r="H204" s="493">
        <f>+H185+H187+H195+H201</f>
        <v>37733643.146516517</v>
      </c>
      <c r="I204" s="447"/>
      <c r="J204" s="114"/>
      <c r="K204" s="1755"/>
      <c r="L204" s="1762"/>
    </row>
    <row r="205" spans="1:12" ht="16" thickTop="1">
      <c r="E205" s="1374"/>
    </row>
    <row r="206" spans="1:12">
      <c r="A206" s="472" t="s">
        <v>482</v>
      </c>
      <c r="B206" s="473"/>
      <c r="C206" s="474"/>
      <c r="D206" s="234"/>
      <c r="E206" s="1385"/>
      <c r="F206" s="169"/>
      <c r="G206" s="169"/>
      <c r="H206" s="236"/>
      <c r="I206" s="409"/>
    </row>
    <row r="207" spans="1:12">
      <c r="A207" s="440"/>
      <c r="B207" s="180"/>
      <c r="C207" s="203"/>
      <c r="D207" s="199"/>
      <c r="E207" s="238"/>
      <c r="F207" s="176"/>
      <c r="G207" s="176"/>
      <c r="H207" s="419"/>
      <c r="I207" s="915"/>
    </row>
    <row r="208" spans="1:12">
      <c r="A208" s="172">
        <v>98</v>
      </c>
      <c r="B208" s="173" t="s">
        <v>483</v>
      </c>
      <c r="C208" s="494"/>
      <c r="E208" s="500"/>
      <c r="F208" s="165" t="s">
        <v>484</v>
      </c>
      <c r="G208" s="165"/>
      <c r="H208" s="495">
        <f>+'2 - Other Tax'!G43</f>
        <v>14717187.81290862</v>
      </c>
      <c r="I208" s="495"/>
      <c r="K208" s="1755"/>
      <c r="L208" s="1762"/>
    </row>
    <row r="209" spans="1:12">
      <c r="A209" s="410"/>
      <c r="B209" s="199"/>
      <c r="E209" s="1374"/>
      <c r="F209" s="181"/>
      <c r="G209" s="165"/>
    </row>
    <row r="210" spans="1:12" ht="16" thickBot="1">
      <c r="A210" s="172">
        <v>99</v>
      </c>
      <c r="B210" s="415" t="s">
        <v>485</v>
      </c>
      <c r="C210" s="415"/>
      <c r="D210" s="418"/>
      <c r="E210" s="425"/>
      <c r="F210" s="417" t="str">
        <f>"(Line "&amp;A208&amp;")"</f>
        <v>(Line 98)</v>
      </c>
      <c r="G210" s="227"/>
      <c r="H210" s="437">
        <f>+H208</f>
        <v>14717187.81290862</v>
      </c>
      <c r="I210" s="525"/>
      <c r="K210" s="1755"/>
      <c r="L210" s="1762"/>
    </row>
    <row r="211" spans="1:12" ht="16" thickTop="1">
      <c r="A211" s="164"/>
      <c r="E211" s="1374"/>
    </row>
    <row r="212" spans="1:12">
      <c r="A212" s="472" t="s">
        <v>486</v>
      </c>
      <c r="B212" s="473"/>
      <c r="C212" s="474"/>
      <c r="D212" s="234"/>
      <c r="E212" s="1382"/>
      <c r="F212" s="169"/>
      <c r="G212" s="169"/>
      <c r="H212" s="236"/>
      <c r="I212" s="409"/>
    </row>
    <row r="213" spans="1:12">
      <c r="A213" s="181"/>
      <c r="B213" s="180"/>
      <c r="C213" s="203"/>
      <c r="D213" s="199"/>
      <c r="E213" s="238"/>
      <c r="F213" s="176"/>
      <c r="G213" s="176"/>
      <c r="H213" s="419"/>
      <c r="I213" s="915"/>
    </row>
    <row r="214" spans="1:12">
      <c r="A214" s="172"/>
      <c r="B214" s="178" t="s">
        <v>2</v>
      </c>
      <c r="D214" s="175"/>
      <c r="E214" s="238"/>
      <c r="G214" s="178"/>
    </row>
    <row r="215" spans="1:12">
      <c r="A215" s="172">
        <v>100</v>
      </c>
      <c r="B215" s="178"/>
      <c r="C215" s="176" t="s">
        <v>2</v>
      </c>
      <c r="D215" s="175"/>
      <c r="E215" s="238"/>
      <c r="F215" s="178" t="s">
        <v>487</v>
      </c>
      <c r="G215" s="178"/>
      <c r="H215" s="1341">
        <f>163516653+2755944+1609785-352705</f>
        <v>167529677</v>
      </c>
      <c r="I215" s="179"/>
      <c r="K215" s="1755"/>
      <c r="L215" s="1762"/>
    </row>
    <row r="216" spans="1:12">
      <c r="A216" s="172">
        <v>101</v>
      </c>
      <c r="B216" s="172"/>
      <c r="C216" s="496" t="s">
        <v>488</v>
      </c>
      <c r="D216" s="477"/>
      <c r="E216" s="1386" t="s">
        <v>986</v>
      </c>
      <c r="F216" s="194" t="s">
        <v>489</v>
      </c>
      <c r="G216" s="185"/>
      <c r="H216" s="480">
        <f>+'8 - Securitization'!E14</f>
        <v>0</v>
      </c>
      <c r="I216" s="447"/>
      <c r="K216" s="1755"/>
      <c r="L216" s="1762"/>
    </row>
    <row r="217" spans="1:12">
      <c r="A217" s="180">
        <v>102</v>
      </c>
      <c r="B217" s="180"/>
      <c r="C217" s="178" t="s">
        <v>2</v>
      </c>
      <c r="D217" s="175"/>
      <c r="E217" s="1374"/>
      <c r="F217" s="179" t="s">
        <v>490</v>
      </c>
      <c r="G217" s="178"/>
      <c r="H217" s="178">
        <f>+H215-H216</f>
        <v>167529677</v>
      </c>
      <c r="I217" s="179"/>
      <c r="K217" s="1755"/>
      <c r="L217" s="1762"/>
    </row>
    <row r="218" spans="1:12">
      <c r="A218" s="180"/>
      <c r="B218" s="180"/>
      <c r="C218" s="187"/>
      <c r="E218" s="1374"/>
      <c r="F218" s="199"/>
      <c r="G218" s="187"/>
      <c r="H218" s="187"/>
      <c r="I218" s="188"/>
    </row>
    <row r="219" spans="1:12">
      <c r="A219" s="180">
        <v>103</v>
      </c>
      <c r="B219" s="187" t="s">
        <v>491</v>
      </c>
      <c r="E219" s="238" t="s">
        <v>492</v>
      </c>
      <c r="F219" s="188" t="s">
        <v>493</v>
      </c>
      <c r="G219" s="187"/>
      <c r="H219" s="498">
        <v>0</v>
      </c>
      <c r="I219" s="922"/>
      <c r="K219" s="1755"/>
      <c r="L219" s="1762"/>
    </row>
    <row r="220" spans="1:12">
      <c r="A220" s="180"/>
      <c r="B220" s="180"/>
      <c r="C220" s="191"/>
      <c r="E220" s="238"/>
      <c r="F220" s="188"/>
      <c r="G220" s="187"/>
      <c r="H220" s="187"/>
      <c r="I220" s="188"/>
    </row>
    <row r="221" spans="1:12">
      <c r="A221" s="180"/>
      <c r="B221" s="191" t="s">
        <v>494</v>
      </c>
      <c r="E221" s="238"/>
      <c r="F221" s="188"/>
      <c r="G221" s="187"/>
      <c r="H221" s="187"/>
      <c r="I221" s="188"/>
    </row>
    <row r="222" spans="1:12">
      <c r="A222" s="180">
        <v>104</v>
      </c>
      <c r="B222" s="180"/>
      <c r="C222" s="187" t="s">
        <v>495</v>
      </c>
      <c r="D222" s="187"/>
      <c r="E222" s="500"/>
      <c r="F222" s="188" t="s">
        <v>496</v>
      </c>
      <c r="G222" s="187"/>
      <c r="H222" s="412">
        <v>3740632759.5007691</v>
      </c>
      <c r="I222" s="914"/>
      <c r="K222" s="1755"/>
      <c r="L222" s="1762"/>
    </row>
    <row r="223" spans="1:12">
      <c r="A223" s="172">
        <v>105</v>
      </c>
      <c r="B223" s="172"/>
      <c r="C223" s="188" t="s">
        <v>497</v>
      </c>
      <c r="D223" s="188"/>
      <c r="E223" s="238" t="s">
        <v>235</v>
      </c>
      <c r="F223" s="256" t="str">
        <f>"(Line "&amp;A235&amp;")"</f>
        <v>(Line 114)</v>
      </c>
      <c r="G223" s="187"/>
      <c r="H223" s="188">
        <v>0</v>
      </c>
      <c r="I223" s="188"/>
      <c r="K223" s="1755"/>
      <c r="L223" s="1762"/>
    </row>
    <row r="224" spans="1:12">
      <c r="A224" s="180">
        <v>106</v>
      </c>
      <c r="B224" s="172"/>
      <c r="C224" s="179" t="s">
        <v>498</v>
      </c>
      <c r="D224" s="179"/>
      <c r="E224" s="238" t="s">
        <v>235</v>
      </c>
      <c r="F224" s="179" t="s">
        <v>499</v>
      </c>
      <c r="G224" s="178"/>
      <c r="H224" s="432">
        <v>-1646367</v>
      </c>
      <c r="I224" s="179"/>
      <c r="K224" s="1755"/>
      <c r="L224" s="1762"/>
    </row>
    <row r="225" spans="1:12">
      <c r="A225" s="949" t="s">
        <v>1377</v>
      </c>
      <c r="B225" s="949"/>
      <c r="C225" s="966" t="s">
        <v>1378</v>
      </c>
      <c r="D225" s="966"/>
      <c r="E225" s="967" t="s">
        <v>235</v>
      </c>
      <c r="F225" s="966" t="s">
        <v>1379</v>
      </c>
      <c r="G225" s="185"/>
      <c r="H225" s="499">
        <v>0</v>
      </c>
      <c r="I225" s="179"/>
      <c r="K225" s="1755"/>
      <c r="L225" s="1762"/>
    </row>
    <row r="226" spans="1:12">
      <c r="A226" s="180">
        <v>107</v>
      </c>
      <c r="B226" s="172"/>
      <c r="C226" s="179" t="s">
        <v>494</v>
      </c>
      <c r="D226" s="179"/>
      <c r="E226" s="500" t="s">
        <v>1449</v>
      </c>
      <c r="F226" s="178" t="s">
        <v>1380</v>
      </c>
      <c r="G226" s="197"/>
      <c r="H226" s="187">
        <f>SUM(H222:H225)</f>
        <v>3738986392.5007691</v>
      </c>
      <c r="I226" s="188"/>
      <c r="K226" s="1755"/>
      <c r="L226" s="1762"/>
    </row>
    <row r="227" spans="1:12">
      <c r="A227" s="180"/>
      <c r="B227" s="180"/>
      <c r="C227" s="191"/>
      <c r="E227" s="238"/>
      <c r="F227" s="187"/>
      <c r="G227" s="176"/>
      <c r="H227" s="187"/>
      <c r="I227" s="188"/>
    </row>
    <row r="228" spans="1:12">
      <c r="A228" s="180"/>
      <c r="B228" s="191" t="s">
        <v>3</v>
      </c>
      <c r="E228" s="238"/>
      <c r="F228" s="187"/>
      <c r="G228" s="176"/>
      <c r="H228" s="187"/>
      <c r="I228" s="188"/>
    </row>
    <row r="229" spans="1:12">
      <c r="A229" s="180">
        <v>108</v>
      </c>
      <c r="B229" s="180"/>
      <c r="C229" s="191" t="s">
        <v>500</v>
      </c>
      <c r="E229" s="500"/>
      <c r="F229" s="191" t="s">
        <v>501</v>
      </c>
      <c r="G229" s="176"/>
      <c r="H229" s="422">
        <v>3664316485.5215383</v>
      </c>
      <c r="I229" s="188"/>
      <c r="K229" s="1755"/>
      <c r="L229" s="1762"/>
    </row>
    <row r="230" spans="1:12">
      <c r="A230" s="172">
        <v>109</v>
      </c>
      <c r="B230" s="180"/>
      <c r="C230" s="191" t="s">
        <v>502</v>
      </c>
      <c r="E230" s="238" t="str">
        <f>+E224</f>
        <v>enter negative</v>
      </c>
      <c r="F230" s="203" t="s">
        <v>503</v>
      </c>
      <c r="G230" s="176"/>
      <c r="H230" s="422">
        <v>-7535342.9830769198</v>
      </c>
      <c r="I230" s="188"/>
      <c r="K230" s="1755"/>
      <c r="L230" s="1762"/>
    </row>
    <row r="231" spans="1:12">
      <c r="A231" s="172">
        <v>110</v>
      </c>
      <c r="B231" s="180"/>
      <c r="C231" s="191" t="s">
        <v>504</v>
      </c>
      <c r="E231" s="1374" t="s">
        <v>505</v>
      </c>
      <c r="F231" s="209" t="s">
        <v>506</v>
      </c>
      <c r="G231" s="176"/>
      <c r="H231" s="422">
        <v>0</v>
      </c>
      <c r="I231" s="188"/>
      <c r="K231" s="1755"/>
      <c r="L231" s="1762"/>
    </row>
    <row r="232" spans="1:12">
      <c r="A232" s="172">
        <v>111</v>
      </c>
      <c r="B232" s="172"/>
      <c r="C232" s="203" t="s">
        <v>507</v>
      </c>
      <c r="D232" s="199"/>
      <c r="E232" s="238" t="str">
        <f>+E230</f>
        <v>enter negative</v>
      </c>
      <c r="F232" s="1016" t="s">
        <v>1450</v>
      </c>
      <c r="G232" s="199"/>
      <c r="H232" s="1341">
        <f>-'1B - ADIT EOY'!E22</f>
        <v>2076514.4658465076</v>
      </c>
      <c r="I232" s="188"/>
      <c r="K232" s="1755"/>
      <c r="L232" s="1762"/>
    </row>
    <row r="233" spans="1:12">
      <c r="A233" s="172">
        <v>112</v>
      </c>
      <c r="B233" s="172"/>
      <c r="C233" s="165" t="s">
        <v>508</v>
      </c>
      <c r="D233" s="497" t="s">
        <v>986</v>
      </c>
      <c r="E233" s="967" t="s">
        <v>235</v>
      </c>
      <c r="F233" s="194" t="str">
        <f>+F216</f>
        <v>Attachment 8</v>
      </c>
      <c r="G233" s="176"/>
      <c r="H233" s="422">
        <f>+'8 - Securitization'!E18</f>
        <v>0</v>
      </c>
      <c r="I233" s="188"/>
      <c r="K233" s="1755"/>
      <c r="L233" s="1762"/>
    </row>
    <row r="234" spans="1:12">
      <c r="A234" s="172">
        <v>113</v>
      </c>
      <c r="B234" s="172"/>
      <c r="C234" s="201" t="s">
        <v>509</v>
      </c>
      <c r="D234" s="200"/>
      <c r="E234" s="500" t="s">
        <v>1205</v>
      </c>
      <c r="F234" s="179" t="str">
        <f>"(Sum Lines "&amp;A229&amp;" to "&amp;A233&amp;")"</f>
        <v>(Sum Lines 108 to 112)</v>
      </c>
      <c r="G234" s="200"/>
      <c r="H234" s="202">
        <f>SUM(H229:H233)</f>
        <v>3658857657.0043077</v>
      </c>
      <c r="I234" s="179"/>
      <c r="K234" s="1755"/>
      <c r="L234" s="1762"/>
    </row>
    <row r="235" spans="1:12">
      <c r="A235" s="180">
        <v>114</v>
      </c>
      <c r="B235" s="180"/>
      <c r="C235" s="191" t="s">
        <v>510</v>
      </c>
      <c r="E235" s="500" t="s">
        <v>1375</v>
      </c>
      <c r="F235" s="203" t="s">
        <v>511</v>
      </c>
      <c r="G235" s="176"/>
      <c r="H235" s="422">
        <v>0</v>
      </c>
      <c r="I235" s="188"/>
      <c r="K235" s="1755"/>
      <c r="L235" s="1762"/>
    </row>
    <row r="236" spans="1:12">
      <c r="A236" s="180">
        <v>115</v>
      </c>
      <c r="B236" s="180"/>
      <c r="C236" s="191" t="s">
        <v>494</v>
      </c>
      <c r="E236" s="1374"/>
      <c r="F236" s="185" t="str">
        <f>"(Line "&amp;A226&amp;")"</f>
        <v>(Line 107)</v>
      </c>
      <c r="G236" s="176"/>
      <c r="H236" s="178">
        <f>H226</f>
        <v>3738986392.5007691</v>
      </c>
      <c r="I236" s="179"/>
      <c r="K236" s="1755"/>
      <c r="L236" s="1762"/>
    </row>
    <row r="237" spans="1:12">
      <c r="A237" s="180">
        <v>116</v>
      </c>
      <c r="B237" s="180"/>
      <c r="C237" s="201" t="s">
        <v>512</v>
      </c>
      <c r="D237" s="204"/>
      <c r="E237" s="423"/>
      <c r="F237" s="178" t="str">
        <f>"(Sum Lines "&amp;A234&amp;" to "&amp;A236&amp;")"</f>
        <v>(Sum Lines 113 to 115)</v>
      </c>
      <c r="G237" s="207"/>
      <c r="H237" s="207">
        <f>H236+H235+H234</f>
        <v>7397844049.5050774</v>
      </c>
      <c r="I237" s="179"/>
      <c r="K237" s="1755"/>
      <c r="L237" s="1762"/>
    </row>
    <row r="238" spans="1:12">
      <c r="A238" s="180"/>
      <c r="B238" s="180"/>
      <c r="C238" s="191"/>
      <c r="E238" s="1374"/>
      <c r="G238" s="187"/>
      <c r="H238" s="238"/>
      <c r="I238" s="208"/>
    </row>
    <row r="239" spans="1:12">
      <c r="A239" s="172">
        <v>117</v>
      </c>
      <c r="B239" s="180"/>
      <c r="C239" s="210" t="s">
        <v>513</v>
      </c>
      <c r="D239" s="209" t="s">
        <v>509</v>
      </c>
      <c r="E239" s="968" t="s">
        <v>1381</v>
      </c>
      <c r="F239" s="424" t="str">
        <f>"(Line "&amp;A229&amp;" / ("&amp;A229&amp;"+"&amp;A235&amp;"+"&amp;A236&amp;"))"</f>
        <v>(Line 108 / (108+114+115))</v>
      </c>
      <c r="G239" s="187"/>
      <c r="H239" s="1814">
        <f>IF(H237&gt;0,H229/(H229++H235+H236),0)</f>
        <v>0.49495698688750811</v>
      </c>
      <c r="I239" s="923"/>
      <c r="K239" s="1755"/>
      <c r="L239" s="1762"/>
    </row>
    <row r="240" spans="1:12">
      <c r="A240" s="172">
        <v>118</v>
      </c>
      <c r="B240" s="180"/>
      <c r="C240" s="210" t="s">
        <v>514</v>
      </c>
      <c r="D240" s="191" t="s">
        <v>510</v>
      </c>
      <c r="E240" s="500"/>
      <c r="F240" s="424" t="str">
        <f>"(Line "&amp;A235&amp;" / ("&amp;A229&amp;"+"&amp;A235&amp;"+"&amp;A236&amp;"))"</f>
        <v>(Line 114 / (108+114+115))</v>
      </c>
      <c r="G240" s="187"/>
      <c r="H240" s="1814">
        <f>IF(H237&gt;0,H235/(H229+H235+H236),0)</f>
        <v>0</v>
      </c>
      <c r="I240" s="923"/>
      <c r="K240" s="1755"/>
      <c r="L240" s="1762"/>
    </row>
    <row r="241" spans="1:12">
      <c r="A241" s="172">
        <v>119</v>
      </c>
      <c r="B241" s="180"/>
      <c r="C241" s="210" t="s">
        <v>515</v>
      </c>
      <c r="D241" s="191" t="s">
        <v>494</v>
      </c>
      <c r="E241" s="968" t="s">
        <v>1381</v>
      </c>
      <c r="F241" s="424" t="str">
        <f>"(Line "&amp;A236&amp;" / ("&amp;A229&amp;"+"&amp;A235&amp;"+"&amp;A236&amp;"))"</f>
        <v>(Line 115 / (108+114+115))</v>
      </c>
      <c r="G241" s="187"/>
      <c r="H241" s="1814">
        <f>IF(H237&gt;0,H236/(H229+H235+H236),0)</f>
        <v>0.50504301311249189</v>
      </c>
      <c r="I241" s="923"/>
      <c r="K241" s="1755"/>
      <c r="L241" s="1762"/>
    </row>
    <row r="242" spans="1:12">
      <c r="A242" s="172"/>
      <c r="B242" s="180"/>
      <c r="C242" s="190"/>
      <c r="E242" s="1374"/>
      <c r="F242" s="187"/>
      <c r="G242" s="187"/>
      <c r="H242" s="879"/>
      <c r="I242" s="924"/>
    </row>
    <row r="243" spans="1:12">
      <c r="A243" s="172">
        <v>120</v>
      </c>
      <c r="B243" s="180"/>
      <c r="C243" s="190" t="s">
        <v>516</v>
      </c>
      <c r="D243" s="209" t="s">
        <v>509</v>
      </c>
      <c r="E243" s="1052"/>
      <c r="F243" s="178" t="str">
        <f>"(Line "&amp;A217&amp;" / "&amp;A234&amp;")"</f>
        <v>(Line 102 / 113)</v>
      </c>
      <c r="G243" s="187"/>
      <c r="H243" s="214">
        <f>IF(H234&gt;0,H217/H234,0)</f>
        <v>4.5787426761270907E-2</v>
      </c>
      <c r="I243" s="211"/>
      <c r="K243" s="1755"/>
      <c r="L243" s="1762"/>
    </row>
    <row r="244" spans="1:12">
      <c r="A244" s="172">
        <v>121</v>
      </c>
      <c r="B244" s="180"/>
      <c r="C244" s="190" t="s">
        <v>517</v>
      </c>
      <c r="D244" s="191" t="s">
        <v>510</v>
      </c>
      <c r="E244" s="1374"/>
      <c r="F244" s="178" t="str">
        <f>"(Line "&amp;A219&amp;" / "&amp;A235&amp;")"</f>
        <v>(Line 103 / 114)</v>
      </c>
      <c r="G244" s="187"/>
      <c r="H244" s="214">
        <f>IF(H235&gt;0,H219/H235,0)</f>
        <v>0</v>
      </c>
      <c r="I244" s="211"/>
      <c r="K244" s="1755"/>
      <c r="L244" s="1762"/>
    </row>
    <row r="245" spans="1:12">
      <c r="A245" s="172">
        <v>122</v>
      </c>
      <c r="B245" s="180"/>
      <c r="C245" s="190" t="s">
        <v>518</v>
      </c>
      <c r="D245" s="191" t="s">
        <v>494</v>
      </c>
      <c r="E245" s="500" t="str">
        <f>"(Note "&amp;B$354&amp;")"</f>
        <v>(Note J)</v>
      </c>
      <c r="F245" s="188" t="s">
        <v>519</v>
      </c>
      <c r="G245" s="187"/>
      <c r="H245" s="501">
        <v>0.105</v>
      </c>
      <c r="I245" s="211"/>
      <c r="K245" s="1755"/>
      <c r="L245" s="1762"/>
    </row>
    <row r="246" spans="1:12">
      <c r="A246" s="172"/>
      <c r="B246" s="180"/>
      <c r="C246" s="190"/>
      <c r="E246" s="1374"/>
      <c r="F246" s="187"/>
      <c r="G246" s="187"/>
      <c r="H246" s="176"/>
      <c r="I246" s="199"/>
    </row>
    <row r="247" spans="1:12">
      <c r="A247" s="172">
        <v>123</v>
      </c>
      <c r="B247" s="180"/>
      <c r="C247" s="210" t="s">
        <v>520</v>
      </c>
      <c r="D247" s="209" t="s">
        <v>521</v>
      </c>
      <c r="E247" s="1374"/>
      <c r="F247" s="178" t="str">
        <f>"(Line "&amp;A239&amp;" * "&amp;A243&amp;")"</f>
        <v>(Line 117 * 120)</v>
      </c>
      <c r="G247" s="213"/>
      <c r="H247" s="214">
        <f>H243*H239</f>
        <v>2.2662806787091101E-2</v>
      </c>
      <c r="I247" s="211"/>
      <c r="K247" s="1755"/>
      <c r="L247" s="1762"/>
    </row>
    <row r="248" spans="1:12">
      <c r="A248" s="172">
        <v>124</v>
      </c>
      <c r="B248" s="180"/>
      <c r="C248" s="210" t="s">
        <v>522</v>
      </c>
      <c r="D248" s="191" t="s">
        <v>510</v>
      </c>
      <c r="E248" s="1374"/>
      <c r="F248" s="178" t="str">
        <f>"(Line "&amp;A240&amp;" * "&amp;A244&amp;")"</f>
        <v>(Line 118 * 121)</v>
      </c>
      <c r="G248" s="215"/>
      <c r="H248" s="214">
        <f>H244*H240</f>
        <v>0</v>
      </c>
      <c r="I248" s="211"/>
      <c r="K248" s="1755"/>
      <c r="L248" s="1762"/>
    </row>
    <row r="249" spans="1:12">
      <c r="A249" s="172">
        <v>125</v>
      </c>
      <c r="B249" s="251"/>
      <c r="C249" s="216" t="s">
        <v>523</v>
      </c>
      <c r="D249" s="217" t="s">
        <v>494</v>
      </c>
      <c r="E249" s="431"/>
      <c r="F249" s="185" t="str">
        <f>"(Line "&amp;A241&amp;" * "&amp;A245&amp;")"</f>
        <v>(Line 119 * 122)</v>
      </c>
      <c r="G249" s="218"/>
      <c r="H249" s="219">
        <f>H245*H241</f>
        <v>5.3029516376811643E-2</v>
      </c>
      <c r="I249" s="925"/>
      <c r="K249" s="1755"/>
      <c r="L249" s="1762"/>
    </row>
    <row r="250" spans="1:12" s="257" customFormat="1">
      <c r="A250" s="180">
        <v>126</v>
      </c>
      <c r="B250" s="439" t="s">
        <v>524</v>
      </c>
      <c r="C250" s="439"/>
      <c r="D250" s="175"/>
      <c r="E250" s="1374"/>
      <c r="F250" s="178" t="str">
        <f>"(Sum Lines "&amp;A247&amp;" to "&amp;A249&amp;")"</f>
        <v>(Sum Lines 123 to 125)</v>
      </c>
      <c r="G250" s="502"/>
      <c r="H250" s="214">
        <f>SUM(H247:H249)</f>
        <v>7.5692323163902744E-2</v>
      </c>
      <c r="I250" s="211"/>
      <c r="J250" s="503"/>
      <c r="K250" s="1755"/>
      <c r="L250" s="1762"/>
    </row>
    <row r="251" spans="1:12" s="257" customFormat="1">
      <c r="A251" s="180"/>
      <c r="B251" s="180"/>
      <c r="C251" s="439"/>
      <c r="D251" s="175"/>
      <c r="E251" s="1374"/>
      <c r="F251" s="178"/>
      <c r="G251" s="502"/>
      <c r="H251" s="214"/>
      <c r="I251" s="211"/>
    </row>
    <row r="252" spans="1:12" ht="16" thickBot="1">
      <c r="A252" s="180">
        <v>127</v>
      </c>
      <c r="B252" s="504" t="s">
        <v>525</v>
      </c>
      <c r="C252" s="227"/>
      <c r="D252" s="418"/>
      <c r="E252" s="482"/>
      <c r="F252" s="417" t="str">
        <f>"(Line "&amp;A139&amp;" * "&amp;A250&amp;")"</f>
        <v>(Line 59 * 126)</v>
      </c>
      <c r="G252" s="505"/>
      <c r="H252" s="417">
        <f>+H139*H250</f>
        <v>79271274.197534829</v>
      </c>
      <c r="I252" s="179"/>
      <c r="K252" s="1755"/>
      <c r="L252" s="1762"/>
    </row>
    <row r="253" spans="1:12" ht="16" thickTop="1">
      <c r="A253" s="180"/>
      <c r="B253" s="180"/>
      <c r="C253" s="191"/>
      <c r="E253" s="1374"/>
      <c r="F253" s="187"/>
      <c r="G253" s="187"/>
      <c r="H253" s="214"/>
      <c r="I253" s="211"/>
    </row>
    <row r="254" spans="1:12">
      <c r="A254" s="472" t="s">
        <v>526</v>
      </c>
      <c r="B254" s="473"/>
      <c r="C254" s="474"/>
      <c r="D254" s="234"/>
      <c r="E254" s="1385"/>
      <c r="F254" s="169"/>
      <c r="G254" s="169"/>
      <c r="H254" s="236"/>
      <c r="I254" s="409"/>
    </row>
    <row r="255" spans="1:12">
      <c r="A255" s="173"/>
      <c r="B255" s="180"/>
      <c r="C255" s="203"/>
      <c r="D255" s="199"/>
      <c r="E255" s="238"/>
      <c r="F255" s="176"/>
      <c r="G255" s="176"/>
      <c r="H255" s="419"/>
      <c r="I255" s="915"/>
    </row>
    <row r="256" spans="1:12">
      <c r="A256" s="180" t="s">
        <v>101</v>
      </c>
      <c r="B256" s="506" t="s">
        <v>102</v>
      </c>
      <c r="E256" s="238"/>
      <c r="F256" s="187"/>
      <c r="G256" s="240"/>
      <c r="H256" s="176"/>
      <c r="I256" s="199"/>
    </row>
    <row r="257" spans="1:12">
      <c r="A257" s="180">
        <v>128</v>
      </c>
      <c r="B257" s="180"/>
      <c r="C257" s="176" t="s">
        <v>228</v>
      </c>
      <c r="E257" s="500" t="str">
        <f>"(Note "&amp;B352&amp;")"</f>
        <v>(Note I)</v>
      </c>
      <c r="F257" s="176"/>
      <c r="G257" s="241"/>
      <c r="H257" s="507">
        <v>0.21</v>
      </c>
      <c r="I257" s="242"/>
      <c r="K257" s="1755"/>
      <c r="L257" s="1762"/>
    </row>
    <row r="258" spans="1:12">
      <c r="A258" s="180">
        <v>129</v>
      </c>
      <c r="B258" s="180"/>
      <c r="C258" s="241" t="s">
        <v>229</v>
      </c>
      <c r="D258" s="243"/>
      <c r="E258" s="500" t="str">
        <f>"(Note "&amp;B$352&amp;")"</f>
        <v>(Note I)</v>
      </c>
      <c r="F258" s="176"/>
      <c r="G258" s="241"/>
      <c r="H258" s="507">
        <f>'5 - Cost Support 1'!F65</f>
        <v>8.3000000000000004E-2</v>
      </c>
      <c r="I258" s="242"/>
      <c r="K258" s="1755"/>
      <c r="L258" s="1762"/>
    </row>
    <row r="259" spans="1:12">
      <c r="A259" s="180">
        <v>130</v>
      </c>
      <c r="B259" s="180"/>
      <c r="C259" s="241" t="s">
        <v>527</v>
      </c>
      <c r="D259" s="241" t="s">
        <v>528</v>
      </c>
      <c r="E259" s="1374"/>
      <c r="F259" s="176" t="s">
        <v>529</v>
      </c>
      <c r="G259" s="241"/>
      <c r="H259" s="507">
        <v>0</v>
      </c>
      <c r="I259" s="242"/>
      <c r="K259" s="1755"/>
      <c r="L259" s="1762"/>
    </row>
    <row r="260" spans="1:12">
      <c r="A260" s="180">
        <v>131</v>
      </c>
      <c r="B260" s="180"/>
      <c r="C260" s="241" t="s">
        <v>231</v>
      </c>
      <c r="D260" s="244" t="s">
        <v>232</v>
      </c>
      <c r="E260" s="1374"/>
      <c r="F260" s="176"/>
      <c r="G260" s="241"/>
      <c r="H260" s="246">
        <f>IF(H257&gt;0,1-(((1-H258)*(1-H257))/(1-H258*H257*H259)),0)</f>
        <v>0.27556999999999998</v>
      </c>
      <c r="I260" s="246"/>
      <c r="K260" s="1755"/>
      <c r="L260" s="1762"/>
    </row>
    <row r="261" spans="1:12">
      <c r="A261" s="172" t="s">
        <v>1451</v>
      </c>
      <c r="B261" s="180"/>
      <c r="C261" s="241" t="s">
        <v>233</v>
      </c>
      <c r="D261" s="243"/>
      <c r="E261" s="1374"/>
      <c r="F261" s="176"/>
      <c r="G261" s="241"/>
      <c r="H261" s="242">
        <f>+H260/(1-H260)</f>
        <v>0.38039562138508892</v>
      </c>
      <c r="I261" s="242"/>
      <c r="K261" s="1755"/>
      <c r="L261" s="1762"/>
    </row>
    <row r="262" spans="1:12" s="1013" customFormat="1">
      <c r="A262" s="172" t="s">
        <v>1452</v>
      </c>
      <c r="B262" s="1015"/>
      <c r="C262" s="1019" t="s">
        <v>1453</v>
      </c>
      <c r="D262" s="1020" t="s">
        <v>1454</v>
      </c>
      <c r="E262" s="1374"/>
      <c r="F262" s="1014"/>
      <c r="G262" s="1017"/>
      <c r="H262" s="1021">
        <f>1*1/(1-H260)</f>
        <v>1.380395621385089</v>
      </c>
      <c r="I262" s="1018"/>
      <c r="K262" s="1755"/>
      <c r="L262" s="1762"/>
    </row>
    <row r="263" spans="1:12">
      <c r="A263" s="172"/>
      <c r="B263" s="180"/>
      <c r="E263" s="245"/>
      <c r="F263" s="244"/>
      <c r="G263" s="240"/>
      <c r="H263" s="246"/>
      <c r="I263" s="246"/>
    </row>
    <row r="264" spans="1:12">
      <c r="A264" s="172"/>
      <c r="B264" s="506" t="s">
        <v>234</v>
      </c>
      <c r="C264" s="191"/>
      <c r="E264" s="500" t="str">
        <f>"(Note "&amp;B$369&amp;")"</f>
        <v>(Note U)</v>
      </c>
      <c r="F264" s="187"/>
      <c r="G264" s="240"/>
      <c r="H264" s="508"/>
      <c r="I264" s="247"/>
    </row>
    <row r="265" spans="1:12">
      <c r="A265" s="172">
        <v>133</v>
      </c>
      <c r="B265" s="180"/>
      <c r="C265" s="1023" t="s">
        <v>1456</v>
      </c>
      <c r="E265" s="238" t="s">
        <v>235</v>
      </c>
      <c r="F265" s="1022" t="s">
        <v>1455</v>
      </c>
      <c r="G265" s="240"/>
      <c r="H265" s="1341">
        <f>-'1B - ADIT EOY'!E318</f>
        <v>-22349.115698249469</v>
      </c>
      <c r="I265" s="188"/>
      <c r="K265" s="1755"/>
      <c r="L265" s="1762"/>
    </row>
    <row r="266" spans="1:12">
      <c r="A266" s="172">
        <v>134</v>
      </c>
      <c r="B266" s="180"/>
      <c r="C266" s="1039" t="s">
        <v>1453</v>
      </c>
      <c r="D266" s="1035"/>
      <c r="E266" s="431"/>
      <c r="F266" s="1036" t="str">
        <f>"(Line "&amp;A262&amp;")"</f>
        <v>(Line 132b)</v>
      </c>
      <c r="G266" s="1060"/>
      <c r="H266" s="1061">
        <f>+H262</f>
        <v>1.380395621385089</v>
      </c>
      <c r="I266" s="247"/>
      <c r="K266" s="1755"/>
      <c r="L266" s="1762"/>
    </row>
    <row r="267" spans="1:12">
      <c r="A267" s="172">
        <v>135</v>
      </c>
      <c r="B267" s="180"/>
      <c r="C267" s="509" t="s">
        <v>237</v>
      </c>
      <c r="D267" s="200"/>
      <c r="E267" s="500"/>
      <c r="F267" s="1025" t="s">
        <v>1493</v>
      </c>
      <c r="G267" s="254"/>
      <c r="H267" s="202">
        <f>+H265*H266</f>
        <v>-30850.621451692321</v>
      </c>
      <c r="I267" s="179"/>
      <c r="K267" s="1755"/>
      <c r="L267" s="1762"/>
    </row>
    <row r="268" spans="1:12">
      <c r="A268" s="172"/>
      <c r="B268" s="180"/>
      <c r="C268" s="210"/>
      <c r="D268" s="256"/>
      <c r="E268" s="500"/>
      <c r="F268" s="178"/>
      <c r="G268" s="252"/>
      <c r="H268" s="179"/>
      <c r="I268" s="179"/>
    </row>
    <row r="269" spans="1:12" s="1024" customFormat="1">
      <c r="A269" s="172"/>
      <c r="B269" s="1034" t="s">
        <v>1195</v>
      </c>
      <c r="C269" s="1037"/>
      <c r="D269" s="1040"/>
      <c r="E269" s="1384"/>
      <c r="F269" s="1042"/>
      <c r="G269" s="1046"/>
      <c r="H269" s="1047"/>
      <c r="I269" s="1026"/>
      <c r="L269" s="1053"/>
    </row>
    <row r="270" spans="1:12" s="1024" customFormat="1">
      <c r="A270" s="172" t="s">
        <v>1196</v>
      </c>
      <c r="B270" s="1034"/>
      <c r="C270" s="1037" t="s">
        <v>1458</v>
      </c>
      <c r="D270" s="1040"/>
      <c r="E270" s="500" t="s">
        <v>1197</v>
      </c>
      <c r="F270" s="1031" t="s">
        <v>1489</v>
      </c>
      <c r="G270" s="1046"/>
      <c r="H270" s="1048">
        <f>+'5 - Cost Support 1'!L305</f>
        <v>196087</v>
      </c>
      <c r="I270" s="1026"/>
      <c r="K270" s="1755"/>
      <c r="L270" s="1762"/>
    </row>
    <row r="271" spans="1:12" s="1024" customFormat="1">
      <c r="A271" s="172" t="s">
        <v>1198</v>
      </c>
      <c r="B271" s="1034"/>
      <c r="C271" s="1037" t="s">
        <v>1460</v>
      </c>
      <c r="D271" s="1040"/>
      <c r="E271" s="500" t="s">
        <v>1197</v>
      </c>
      <c r="F271" s="1031" t="s">
        <v>1459</v>
      </c>
      <c r="G271" s="1046"/>
      <c r="H271" s="1048">
        <f>+'5 - Cost Support 1'!L307</f>
        <v>-10536973.129439641</v>
      </c>
      <c r="I271" s="1026"/>
      <c r="K271" s="1755"/>
      <c r="L271" s="1762"/>
    </row>
    <row r="272" spans="1:12" s="1024" customFormat="1">
      <c r="A272" s="172" t="s">
        <v>1199</v>
      </c>
      <c r="B272" s="1034"/>
      <c r="C272" s="1037" t="s">
        <v>1463</v>
      </c>
      <c r="D272" s="1040"/>
      <c r="E272" s="500" t="s">
        <v>1197</v>
      </c>
      <c r="F272" s="1031" t="s">
        <v>1461</v>
      </c>
      <c r="G272" s="1046"/>
      <c r="H272" s="1048">
        <f>+'5 - Cost Support 1'!L308</f>
        <v>-475352.17499999999</v>
      </c>
      <c r="I272" s="1026"/>
      <c r="K272" s="1755"/>
      <c r="L272" s="1762"/>
    </row>
    <row r="273" spans="1:12" s="1024" customFormat="1">
      <c r="A273" s="172" t="s">
        <v>1462</v>
      </c>
      <c r="B273" s="1034"/>
      <c r="C273" s="1038" t="s">
        <v>1466</v>
      </c>
      <c r="D273" s="1045"/>
      <c r="E273" s="468" t="s">
        <v>1197</v>
      </c>
      <c r="F273" s="1035" t="s">
        <v>1464</v>
      </c>
      <c r="G273" s="1049"/>
      <c r="H273" s="1050">
        <f>+'5 - Cost Support 1'!L309</f>
        <v>0</v>
      </c>
      <c r="I273" s="1026"/>
      <c r="K273" s="1755"/>
      <c r="L273" s="1762"/>
    </row>
    <row r="274" spans="1:12" s="1024" customFormat="1">
      <c r="A274" s="172" t="s">
        <v>1465</v>
      </c>
      <c r="B274" s="1034"/>
      <c r="C274" s="1037" t="s">
        <v>1468</v>
      </c>
      <c r="D274" s="1040"/>
      <c r="E274" s="500"/>
      <c r="F274" s="1032" t="s">
        <v>1494</v>
      </c>
      <c r="G274" s="1046"/>
      <c r="H274" s="1043">
        <f>H270+H271+H272+H273</f>
        <v>-10816238.304439642</v>
      </c>
      <c r="I274" s="1026"/>
      <c r="K274" s="1755"/>
      <c r="L274" s="1762"/>
    </row>
    <row r="275" spans="1:12" s="1024" customFormat="1">
      <c r="A275" s="172" t="s">
        <v>1467</v>
      </c>
      <c r="B275" s="1033"/>
      <c r="C275" s="1039" t="s">
        <v>1457</v>
      </c>
      <c r="D275" s="1045"/>
      <c r="E275" s="1387"/>
      <c r="F275" s="1036" t="s">
        <v>1470</v>
      </c>
      <c r="G275" s="1049"/>
      <c r="H275" s="1051">
        <f>+H262</f>
        <v>1.380395621385089</v>
      </c>
      <c r="I275" s="1026"/>
      <c r="K275" s="1755"/>
      <c r="L275" s="1762"/>
    </row>
    <row r="276" spans="1:12" s="1024" customFormat="1">
      <c r="A276" s="172" t="s">
        <v>1469</v>
      </c>
      <c r="B276" s="1033"/>
      <c r="C276" s="1037" t="s">
        <v>1195</v>
      </c>
      <c r="D276" s="1040"/>
      <c r="E276" s="1384" t="s">
        <v>101</v>
      </c>
      <c r="F276" s="1032" t="s">
        <v>1495</v>
      </c>
      <c r="G276" s="1046"/>
      <c r="H276" s="1044">
        <f>H274*H275</f>
        <v>-14930687.99530616</v>
      </c>
      <c r="I276" s="1026"/>
      <c r="K276" s="1755"/>
      <c r="L276" s="1762"/>
    </row>
    <row r="277" spans="1:12" s="1024" customFormat="1">
      <c r="A277" s="172"/>
      <c r="B277" s="1027"/>
      <c r="C277" s="1028"/>
      <c r="D277" s="1030"/>
      <c r="E277" s="500"/>
      <c r="F277" s="1025"/>
      <c r="G277" s="1029"/>
      <c r="H277" s="1026"/>
      <c r="I277" s="1026"/>
      <c r="L277" s="1053"/>
    </row>
    <row r="278" spans="1:12">
      <c r="A278" s="180">
        <v>137</v>
      </c>
      <c r="B278" s="114" t="s">
        <v>239</v>
      </c>
      <c r="C278" s="114"/>
      <c r="D278" s="176" t="s">
        <v>240</v>
      </c>
      <c r="E278" s="238"/>
      <c r="F278" s="178" t="str">
        <f>"(Line "&amp;A261&amp;" * "&amp;A252&amp;" * (1-("&amp;A247&amp;" / "&amp;A250&amp;")))"</f>
        <v>(Line 132a * 127 * (1-(123 / 126)))</v>
      </c>
      <c r="G278" s="176"/>
      <c r="H278" s="258">
        <f>+H261*(1-H247/H250)*H252</f>
        <v>21125995.34900631</v>
      </c>
      <c r="I278" s="258"/>
      <c r="J278" s="166"/>
      <c r="K278" s="1755"/>
      <c r="L278" s="1762"/>
    </row>
    <row r="279" spans="1:12">
      <c r="A279" s="180"/>
      <c r="B279" s="180"/>
      <c r="C279" s="210"/>
      <c r="D279" s="256"/>
      <c r="E279" s="1374"/>
      <c r="F279" s="252"/>
      <c r="G279" s="252"/>
      <c r="H279" s="260"/>
      <c r="I279" s="453"/>
    </row>
    <row r="280" spans="1:12" ht="16" thickBot="1">
      <c r="A280" s="180">
        <v>138</v>
      </c>
      <c r="B280" s="504" t="s">
        <v>241</v>
      </c>
      <c r="C280" s="504"/>
      <c r="D280" s="418"/>
      <c r="E280" s="425"/>
      <c r="F280" s="437" t="str">
        <f>"(Line "&amp;A267&amp;" + "&amp;A276&amp;" +"&amp;A278&amp;")"</f>
        <v>(Line 135 + 136g +137)</v>
      </c>
      <c r="G280" s="510"/>
      <c r="H280" s="1351">
        <f>+H278+H276+H267</f>
        <v>6164456.7322484571</v>
      </c>
      <c r="I280" s="911"/>
      <c r="K280" s="1755"/>
      <c r="L280" s="1762"/>
    </row>
    <row r="281" spans="1:12" ht="16" thickTop="1">
      <c r="A281" s="180"/>
      <c r="B281" s="180"/>
      <c r="C281" s="244"/>
      <c r="E281" s="1374"/>
      <c r="F281" s="264"/>
      <c r="G281" s="265"/>
      <c r="H281" s="266"/>
      <c r="I281" s="266"/>
    </row>
    <row r="282" spans="1:12">
      <c r="A282" s="472" t="s">
        <v>530</v>
      </c>
      <c r="B282" s="473"/>
      <c r="C282" s="474"/>
      <c r="D282" s="234"/>
      <c r="E282" s="1382"/>
      <c r="F282" s="169"/>
      <c r="G282" s="169"/>
      <c r="H282" s="236"/>
      <c r="I282" s="409"/>
    </row>
    <row r="283" spans="1:12">
      <c r="A283" s="164"/>
      <c r="B283" s="114"/>
      <c r="C283" s="114"/>
      <c r="D283" s="114"/>
      <c r="E283" s="1374"/>
    </row>
    <row r="284" spans="1:12">
      <c r="A284" s="164"/>
      <c r="B284" s="114" t="s">
        <v>531</v>
      </c>
      <c r="C284" s="446"/>
      <c r="D284" s="446"/>
      <c r="E284" s="1374"/>
    </row>
    <row r="285" spans="1:12">
      <c r="A285" s="164">
        <v>139</v>
      </c>
      <c r="B285" s="114"/>
      <c r="C285" s="446" t="s">
        <v>532</v>
      </c>
      <c r="D285" s="446"/>
      <c r="E285" s="1374"/>
      <c r="F285" s="178" t="str">
        <f>"(Line "&amp;A89&amp;")"</f>
        <v>(Line 39)</v>
      </c>
      <c r="H285" s="424">
        <f>+H89</f>
        <v>1293335358.8951321</v>
      </c>
      <c r="I285" s="426"/>
      <c r="K285" s="1755"/>
      <c r="L285" s="1762"/>
    </row>
    <row r="286" spans="1:12">
      <c r="A286" s="180">
        <v>140</v>
      </c>
      <c r="B286" s="114"/>
      <c r="C286" s="446" t="s">
        <v>533</v>
      </c>
      <c r="D286" s="446"/>
      <c r="E286" s="1374"/>
      <c r="F286" s="185" t="str">
        <f>"(Line "&amp;A137&amp;")"</f>
        <v>(Line 58)</v>
      </c>
      <c r="H286" s="424">
        <f>+H137</f>
        <v>-246052478.88783875</v>
      </c>
      <c r="I286" s="426"/>
      <c r="K286" s="1755"/>
      <c r="L286" s="1762"/>
    </row>
    <row r="287" spans="1:12">
      <c r="A287" s="180">
        <v>141</v>
      </c>
      <c r="B287" s="180"/>
      <c r="C287" s="421" t="s">
        <v>442</v>
      </c>
      <c r="D287" s="200"/>
      <c r="E287" s="414"/>
      <c r="F287" s="178" t="str">
        <f>"(Line "&amp;A139&amp;")"</f>
        <v>(Line 59)</v>
      </c>
      <c r="G287" s="204"/>
      <c r="H287" s="464">
        <f>+H139</f>
        <v>1047282880.0072933</v>
      </c>
      <c r="I287" s="525"/>
      <c r="K287" s="1755"/>
      <c r="L287" s="1762"/>
    </row>
    <row r="288" spans="1:12">
      <c r="A288" s="180"/>
      <c r="B288" s="180"/>
      <c r="C288" s="209"/>
      <c r="D288" s="256"/>
      <c r="E288" s="238"/>
      <c r="F288" s="176"/>
      <c r="G288" s="176"/>
      <c r="H288" s="424"/>
      <c r="I288" s="426"/>
    </row>
    <row r="289" spans="1:12">
      <c r="A289" s="180">
        <v>142</v>
      </c>
      <c r="C289" s="209" t="s">
        <v>443</v>
      </c>
      <c r="D289" s="175"/>
      <c r="E289" s="1374"/>
      <c r="F289" s="178" t="str">
        <f>"(Line "&amp;A179&amp;")"</f>
        <v>(Line 85)</v>
      </c>
      <c r="H289" s="424">
        <f>+H179</f>
        <v>57488998.207063451</v>
      </c>
      <c r="I289" s="426"/>
      <c r="K289" s="1755"/>
      <c r="L289" s="1762"/>
    </row>
    <row r="290" spans="1:12">
      <c r="A290" s="180">
        <v>143</v>
      </c>
      <c r="C290" s="210" t="s">
        <v>534</v>
      </c>
      <c r="D290" s="175"/>
      <c r="E290" s="1374"/>
      <c r="F290" s="178" t="str">
        <f>"(Line "&amp;A204&amp;")"</f>
        <v>(Line 97)</v>
      </c>
      <c r="H290" s="424">
        <f>+H204</f>
        <v>37733643.146516517</v>
      </c>
      <c r="I290" s="426"/>
      <c r="K290" s="1755"/>
      <c r="L290" s="1762"/>
    </row>
    <row r="291" spans="1:12">
      <c r="A291" s="180">
        <v>144</v>
      </c>
      <c r="B291" s="180"/>
      <c r="C291" s="209" t="s">
        <v>483</v>
      </c>
      <c r="D291" s="256"/>
      <c r="E291" s="238"/>
      <c r="F291" s="178" t="str">
        <f>"(Line "&amp;A210&amp;")"</f>
        <v>(Line 99)</v>
      </c>
      <c r="G291" s="176"/>
      <c r="H291" s="424">
        <f>+H210</f>
        <v>14717187.81290862</v>
      </c>
      <c r="I291" s="426"/>
      <c r="K291" s="1755"/>
      <c r="L291" s="1762"/>
    </row>
    <row r="292" spans="1:12">
      <c r="A292" s="180">
        <v>145</v>
      </c>
      <c r="B292" s="180"/>
      <c r="C292" s="506" t="s">
        <v>535</v>
      </c>
      <c r="D292" s="256"/>
      <c r="E292" s="238"/>
      <c r="F292" s="178" t="str">
        <f>"(Line "&amp;A252&amp;")"</f>
        <v>(Line 127)</v>
      </c>
      <c r="G292" s="176"/>
      <c r="H292" s="424">
        <f>+H252</f>
        <v>79271274.197534829</v>
      </c>
      <c r="I292" s="426"/>
      <c r="K292" s="1755"/>
      <c r="L292" s="1762"/>
    </row>
    <row r="293" spans="1:12">
      <c r="A293" s="180">
        <v>146</v>
      </c>
      <c r="B293" s="180"/>
      <c r="C293" s="506" t="s">
        <v>536</v>
      </c>
      <c r="D293" s="256"/>
      <c r="E293" s="238"/>
      <c r="F293" s="178" t="str">
        <f>"(Line "&amp;A280&amp;")"</f>
        <v>(Line 138)</v>
      </c>
      <c r="G293" s="176"/>
      <c r="H293" s="424">
        <f>+H280</f>
        <v>6164456.7322484571</v>
      </c>
      <c r="I293" s="426"/>
      <c r="K293" s="1755"/>
      <c r="L293" s="1762"/>
    </row>
    <row r="294" spans="1:12" ht="16" thickBot="1">
      <c r="A294" s="180"/>
      <c r="B294" s="180"/>
      <c r="C294" s="506"/>
      <c r="D294" s="256"/>
      <c r="E294" s="238"/>
      <c r="F294" s="176"/>
      <c r="G294" s="176"/>
      <c r="H294" s="424"/>
      <c r="I294" s="426"/>
    </row>
    <row r="295" spans="1:12" ht="18" thickBot="1">
      <c r="A295" s="511">
        <v>147</v>
      </c>
      <c r="B295" s="512"/>
      <c r="C295" s="513" t="s">
        <v>537</v>
      </c>
      <c r="D295" s="514"/>
      <c r="E295" s="515"/>
      <c r="F295" s="516" t="str">
        <f>"(Sum Lines "&amp;A289&amp;" to "&amp;A293&amp;")"</f>
        <v>(Sum Lines 142 to 146)</v>
      </c>
      <c r="G295" s="517"/>
      <c r="H295" s="518">
        <f>SUM(H293,H292,H291,H290,H289)</f>
        <v>195375560.09627187</v>
      </c>
      <c r="I295" s="525"/>
      <c r="J295" s="519"/>
      <c r="K295" s="1755"/>
      <c r="L295" s="1762"/>
    </row>
    <row r="296" spans="1:12" ht="17.5">
      <c r="A296" s="520"/>
      <c r="B296" s="520"/>
      <c r="C296" s="521"/>
      <c r="D296" s="522"/>
      <c r="E296" s="1388"/>
      <c r="F296" s="178"/>
      <c r="G296" s="523"/>
      <c r="H296" s="524"/>
      <c r="I296" s="525"/>
    </row>
    <row r="297" spans="1:12" ht="17.5">
      <c r="A297" s="520"/>
      <c r="B297" s="210" t="s">
        <v>113</v>
      </c>
      <c r="C297" s="521"/>
      <c r="D297" s="522"/>
      <c r="E297" s="1388"/>
      <c r="F297" s="178"/>
      <c r="G297" s="523"/>
      <c r="H297" s="524"/>
      <c r="I297" s="525"/>
    </row>
    <row r="298" spans="1:12" ht="17.5">
      <c r="A298" s="259">
        <v>148</v>
      </c>
      <c r="B298" s="259"/>
      <c r="C298" s="209" t="s">
        <v>401</v>
      </c>
      <c r="D298" s="522"/>
      <c r="E298" s="1388"/>
      <c r="F298" s="178" t="str">
        <f>"(Line "&amp;A54&amp;")"</f>
        <v>(Line 19)</v>
      </c>
      <c r="G298" s="523"/>
      <c r="H298" s="525">
        <f>+H54</f>
        <v>1838575526.6599998</v>
      </c>
      <c r="I298" s="525"/>
      <c r="K298" s="1755"/>
      <c r="L298" s="1762"/>
    </row>
    <row r="299" spans="1:12" ht="17.5">
      <c r="A299" s="259">
        <v>149</v>
      </c>
      <c r="B299" s="259"/>
      <c r="C299" s="526" t="s">
        <v>538</v>
      </c>
      <c r="D299" s="527"/>
      <c r="E299" s="468" t="str">
        <f>"(Note "&amp;B$357&amp;")"</f>
        <v>(Note M)</v>
      </c>
      <c r="F299" s="194" t="s">
        <v>425</v>
      </c>
      <c r="G299" s="523"/>
      <c r="H299" s="528">
        <f>+'5 - Cost Support 1'!G80</f>
        <v>0</v>
      </c>
      <c r="I299" s="525"/>
      <c r="K299" s="1755"/>
      <c r="L299" s="1762"/>
    </row>
    <row r="300" spans="1:12" ht="17.5">
      <c r="A300" s="259">
        <v>150</v>
      </c>
      <c r="B300" s="259"/>
      <c r="C300" s="209" t="s">
        <v>539</v>
      </c>
      <c r="D300" s="522"/>
      <c r="E300" s="1388"/>
      <c r="F300" s="179" t="str">
        <f>"(Line "&amp;A298&amp;" - "&amp;A299&amp;")"</f>
        <v>(Line 148 - 149)</v>
      </c>
      <c r="G300" s="523"/>
      <c r="H300" s="525">
        <f>+H298-H299</f>
        <v>1838575526.6599998</v>
      </c>
      <c r="I300" s="525"/>
      <c r="K300" s="1755"/>
      <c r="L300" s="1762"/>
    </row>
    <row r="301" spans="1:12" ht="17.5">
      <c r="A301" s="259">
        <v>151</v>
      </c>
      <c r="B301" s="259"/>
      <c r="C301" s="209" t="s">
        <v>540</v>
      </c>
      <c r="D301" s="522"/>
      <c r="E301" s="1388"/>
      <c r="F301" s="179" t="str">
        <f>"(Line "&amp;A300&amp;" / "&amp;A298&amp;")"</f>
        <v>(Line 150 / 148)</v>
      </c>
      <c r="G301" s="523"/>
      <c r="H301" s="529">
        <f>+H300/H298</f>
        <v>1</v>
      </c>
      <c r="I301" s="529"/>
      <c r="K301" s="1755"/>
      <c r="L301" s="1762"/>
    </row>
    <row r="302" spans="1:12" ht="17.5">
      <c r="A302" s="259">
        <v>152</v>
      </c>
      <c r="B302" s="259"/>
      <c r="C302" s="526" t="s">
        <v>537</v>
      </c>
      <c r="D302" s="527"/>
      <c r="E302" s="530"/>
      <c r="F302" s="194" t="str">
        <f>"(Line "&amp;A295&amp;")"</f>
        <v>(Line 147)</v>
      </c>
      <c r="G302" s="523"/>
      <c r="H302" s="528">
        <f>+H295</f>
        <v>195375560.09627187</v>
      </c>
      <c r="I302" s="525"/>
      <c r="K302" s="1755"/>
      <c r="L302" s="1762"/>
    </row>
    <row r="303" spans="1:12" ht="17.5">
      <c r="A303" s="259">
        <v>153</v>
      </c>
      <c r="B303" s="259"/>
      <c r="C303" s="209" t="s">
        <v>541</v>
      </c>
      <c r="D303" s="522"/>
      <c r="E303" s="1388"/>
      <c r="F303" s="179" t="str">
        <f>"(Line "&amp;A301&amp;" * "&amp;A302&amp;")"</f>
        <v>(Line 151 * 152)</v>
      </c>
      <c r="G303" s="523"/>
      <c r="H303" s="525">
        <f>+H302*H301</f>
        <v>195375560.09627187</v>
      </c>
      <c r="I303" s="525"/>
      <c r="K303" s="1755"/>
      <c r="L303" s="1762"/>
    </row>
    <row r="304" spans="1:12">
      <c r="A304" s="440"/>
      <c r="B304" s="180"/>
      <c r="C304" s="209"/>
      <c r="D304" s="256"/>
      <c r="E304" s="238"/>
      <c r="F304" s="176"/>
      <c r="G304" s="176"/>
      <c r="H304" s="419"/>
      <c r="I304" s="915"/>
    </row>
    <row r="305" spans="1:12">
      <c r="A305" s="440"/>
      <c r="B305" s="181" t="s">
        <v>542</v>
      </c>
      <c r="C305" s="209"/>
      <c r="D305" s="256"/>
      <c r="E305" s="238"/>
      <c r="F305" s="176"/>
      <c r="G305" s="176"/>
      <c r="H305" s="419"/>
      <c r="I305" s="915"/>
    </row>
    <row r="306" spans="1:12">
      <c r="A306" s="172">
        <v>154</v>
      </c>
      <c r="B306" s="114"/>
      <c r="C306" s="181" t="s">
        <v>543</v>
      </c>
      <c r="D306" s="256"/>
      <c r="E306" s="238"/>
      <c r="F306" s="176" t="s">
        <v>544</v>
      </c>
      <c r="G306" s="176"/>
      <c r="H306" s="258">
        <f>+'3 - Revenue Credits'!G25</f>
        <v>7723650.4767371677</v>
      </c>
      <c r="I306" s="258"/>
      <c r="K306" s="1755"/>
      <c r="L306" s="1762"/>
    </row>
    <row r="307" spans="1:12">
      <c r="A307" s="172">
        <v>155</v>
      </c>
      <c r="B307" s="114"/>
      <c r="C307" s="181" t="s">
        <v>545</v>
      </c>
      <c r="D307" s="256"/>
      <c r="E307" s="500" t="str">
        <f>"(Note "&amp;B$358&amp;")"</f>
        <v>(Note N)</v>
      </c>
      <c r="F307" s="176" t="s">
        <v>449</v>
      </c>
      <c r="G307" s="176"/>
      <c r="H307" s="531">
        <f>+'5 - Cost Support 1'!G184</f>
        <v>0</v>
      </c>
      <c r="I307" s="258"/>
      <c r="K307" s="1755"/>
      <c r="L307" s="1762"/>
    </row>
    <row r="308" spans="1:12" ht="16" thickBot="1">
      <c r="A308" s="180"/>
      <c r="B308" s="180"/>
      <c r="C308" s="408"/>
      <c r="D308" s="408"/>
      <c r="E308" s="1374"/>
      <c r="F308" s="176"/>
      <c r="G308" s="176"/>
      <c r="H308" s="419"/>
      <c r="I308" s="915"/>
    </row>
    <row r="309" spans="1:12" s="257" customFormat="1" ht="18" thickBot="1">
      <c r="A309" s="511">
        <v>156</v>
      </c>
      <c r="B309" s="532"/>
      <c r="C309" s="533" t="s">
        <v>546</v>
      </c>
      <c r="D309" s="534"/>
      <c r="E309" s="535"/>
      <c r="F309" s="516" t="str">
        <f>"(Line "&amp;A303&amp;" - "&amp;A306&amp;" + "&amp;A307&amp;")"</f>
        <v>(Line 153 - 154 + 155)</v>
      </c>
      <c r="G309" s="517"/>
      <c r="H309" s="518">
        <f>+H303-H306+H307</f>
        <v>187651909.6195347</v>
      </c>
      <c r="I309" s="525"/>
      <c r="K309" s="1755"/>
      <c r="L309" s="1762"/>
    </row>
    <row r="310" spans="1:12">
      <c r="A310" s="440"/>
      <c r="B310" s="180"/>
      <c r="C310" s="408"/>
      <c r="D310" s="408"/>
      <c r="E310" s="1374"/>
      <c r="F310" s="176"/>
      <c r="G310" s="176"/>
      <c r="H310" s="419"/>
      <c r="I310" s="915"/>
    </row>
    <row r="311" spans="1:12">
      <c r="A311" s="172"/>
      <c r="B311" s="408" t="s">
        <v>547</v>
      </c>
      <c r="C311" s="165"/>
      <c r="D311" s="408"/>
      <c r="E311" s="1374"/>
      <c r="F311" s="176"/>
      <c r="G311" s="176"/>
      <c r="H311" s="419"/>
      <c r="I311" s="915"/>
    </row>
    <row r="312" spans="1:12">
      <c r="A312" s="172">
        <v>157</v>
      </c>
      <c r="B312" s="172"/>
      <c r="C312" s="408" t="s">
        <v>546</v>
      </c>
      <c r="D312" s="408"/>
      <c r="E312" s="1374"/>
      <c r="F312" s="176" t="str">
        <f>"(Line "&amp;A309&amp;")"</f>
        <v>(Line 156)</v>
      </c>
      <c r="G312" s="176"/>
      <c r="H312" s="536">
        <f>+H309</f>
        <v>187651909.6195347</v>
      </c>
      <c r="I312" s="258"/>
      <c r="K312" s="1755"/>
      <c r="L312" s="1762"/>
    </row>
    <row r="313" spans="1:12">
      <c r="A313" s="172">
        <v>158</v>
      </c>
      <c r="B313" s="172"/>
      <c r="C313" s="408" t="s">
        <v>548</v>
      </c>
      <c r="D313" s="408"/>
      <c r="E313" s="1374"/>
      <c r="F313" s="176" t="str">
        <f>"(Line "&amp;A54&amp;" - "&amp;A74&amp;")"</f>
        <v>(Line 19 - 30)</v>
      </c>
      <c r="G313" s="176"/>
      <c r="H313" s="536">
        <f>+H54-H74</f>
        <v>1240683770.4292307</v>
      </c>
      <c r="I313" s="258"/>
      <c r="K313" s="1755"/>
      <c r="L313" s="1762"/>
    </row>
    <row r="314" spans="1:12">
      <c r="A314" s="172">
        <v>159</v>
      </c>
      <c r="B314" s="172"/>
      <c r="C314" s="408" t="s">
        <v>549</v>
      </c>
      <c r="D314" s="408"/>
      <c r="E314" s="1374"/>
      <c r="F314" s="176" t="str">
        <f>"(Line "&amp;A312&amp;" / "&amp;A313&amp;")"</f>
        <v>(Line 157 / 158)</v>
      </c>
      <c r="G314" s="176"/>
      <c r="H314" s="508">
        <f>+H312/H313</f>
        <v>0.15124878239892997</v>
      </c>
      <c r="I314" s="915"/>
      <c r="K314" s="1755"/>
      <c r="L314" s="1762"/>
    </row>
    <row r="315" spans="1:12">
      <c r="A315" s="172">
        <v>160</v>
      </c>
      <c r="B315" s="172"/>
      <c r="C315" s="408" t="s">
        <v>550</v>
      </c>
      <c r="D315" s="408"/>
      <c r="E315" s="1374"/>
      <c r="F315" s="176" t="str">
        <f>"(Line "&amp;A312&amp;" - "&amp;A185&amp;") / "&amp;A313</f>
        <v>(Line 157 - 86) / 158</v>
      </c>
      <c r="G315" s="176"/>
      <c r="H315" s="508">
        <f>(H312-H185)/H313</f>
        <v>0.12642979569666424</v>
      </c>
      <c r="I315" s="915"/>
      <c r="K315" s="1755"/>
      <c r="L315" s="1762"/>
    </row>
    <row r="316" spans="1:12">
      <c r="A316" s="172">
        <v>161</v>
      </c>
      <c r="B316" s="172"/>
      <c r="C316" s="408" t="s">
        <v>551</v>
      </c>
      <c r="D316" s="408"/>
      <c r="E316" s="1374"/>
      <c r="F316" s="199" t="str">
        <f>"(Line "&amp;A312&amp;" - "&amp;A185&amp;" - "&amp;A252&amp;" - "&amp;A280&amp;") / "&amp;A313</f>
        <v>(Line 157 - 86 - 127 - 138) / 158</v>
      </c>
      <c r="G316" s="176"/>
      <c r="H316" s="508">
        <f>(H312-H185-H252-H280)/H313</f>
        <v>5.7567985003174074E-2</v>
      </c>
      <c r="I316" s="915"/>
      <c r="K316" s="1755"/>
      <c r="L316" s="1762"/>
    </row>
    <row r="317" spans="1:12">
      <c r="A317" s="172"/>
      <c r="B317" s="172"/>
      <c r="C317" s="408"/>
      <c r="D317" s="408"/>
      <c r="E317" s="1374"/>
      <c r="F317" s="176"/>
      <c r="G317" s="176"/>
      <c r="H317" s="419"/>
      <c r="I317" s="915"/>
    </row>
    <row r="318" spans="1:12">
      <c r="A318" s="172"/>
      <c r="B318" s="172"/>
      <c r="C318" s="408"/>
      <c r="D318" s="408"/>
      <c r="E318" s="1374"/>
      <c r="F318" s="176"/>
      <c r="G318" s="176"/>
      <c r="H318" s="537"/>
      <c r="I318" s="926"/>
    </row>
    <row r="319" spans="1:12">
      <c r="A319" s="172"/>
      <c r="B319" s="408" t="s">
        <v>552</v>
      </c>
      <c r="C319" s="408"/>
      <c r="D319" s="408"/>
      <c r="E319" s="1374"/>
      <c r="F319" s="176"/>
      <c r="G319" s="176"/>
      <c r="H319" s="419"/>
      <c r="I319" s="915"/>
    </row>
    <row r="320" spans="1:12">
      <c r="A320" s="172">
        <v>162</v>
      </c>
      <c r="B320" s="172"/>
      <c r="C320" s="408" t="s">
        <v>553</v>
      </c>
      <c r="D320" s="408"/>
      <c r="E320" s="1374"/>
      <c r="F320" s="199" t="str">
        <f>"(Line "&amp;A309&amp;" - "&amp;A292&amp;" - "&amp;A293&amp;")"</f>
        <v>(Line 156 - 145 - 146)</v>
      </c>
      <c r="G320" s="176"/>
      <c r="H320" s="536">
        <f>+H309-H292-H293</f>
        <v>102216178.68975142</v>
      </c>
      <c r="I320" s="258"/>
      <c r="K320" s="1755"/>
      <c r="L320" s="1762"/>
    </row>
    <row r="321" spans="1:166">
      <c r="A321" s="172">
        <v>163</v>
      </c>
      <c r="B321" s="172"/>
      <c r="C321" s="408" t="s">
        <v>554</v>
      </c>
      <c r="D321" s="408"/>
      <c r="E321" s="1374"/>
      <c r="F321" s="199" t="s">
        <v>555</v>
      </c>
      <c r="G321" s="176"/>
      <c r="H321" s="258">
        <f>+'4 - 100 Basis Pt ROE'!I9</f>
        <v>92736959.499831617</v>
      </c>
      <c r="I321" s="258"/>
      <c r="K321" s="1755"/>
      <c r="L321" s="1762"/>
    </row>
    <row r="322" spans="1:166">
      <c r="A322" s="172">
        <v>164</v>
      </c>
      <c r="B322" s="172"/>
      <c r="C322" s="408" t="s">
        <v>556</v>
      </c>
      <c r="D322" s="408"/>
      <c r="E322" s="1374"/>
      <c r="F322" s="199" t="str">
        <f>"(Line "&amp;A320&amp;" + "&amp;A321&amp;")"</f>
        <v>(Line 162 + 163)</v>
      </c>
      <c r="G322" s="176"/>
      <c r="H322" s="536">
        <f>+H321+H320</f>
        <v>194953138.18958303</v>
      </c>
      <c r="I322" s="258"/>
      <c r="K322" s="1755"/>
      <c r="L322" s="1762"/>
    </row>
    <row r="323" spans="1:166">
      <c r="A323" s="172">
        <v>165</v>
      </c>
      <c r="B323" s="172"/>
      <c r="C323" s="408" t="s">
        <v>548</v>
      </c>
      <c r="D323" s="408"/>
      <c r="E323" s="1374"/>
      <c r="F323" s="176" t="str">
        <f>"(Line "&amp;A54&amp;" - "&amp;A74&amp;")"</f>
        <v>(Line 19 - 30)</v>
      </c>
      <c r="G323" s="176"/>
      <c r="H323" s="536">
        <f>+H313</f>
        <v>1240683770.4292307</v>
      </c>
      <c r="I323" s="258"/>
      <c r="K323" s="1755"/>
      <c r="L323" s="1762"/>
    </row>
    <row r="324" spans="1:166">
      <c r="A324" s="172">
        <v>166</v>
      </c>
      <c r="B324" s="172"/>
      <c r="C324" s="408" t="s">
        <v>557</v>
      </c>
      <c r="D324" s="408"/>
      <c r="E324" s="1374"/>
      <c r="F324" s="176" t="str">
        <f>"(Line "&amp;A322&amp;" / "&amp;A323&amp;")"</f>
        <v>(Line 164 / 165)</v>
      </c>
      <c r="G324" s="176"/>
      <c r="H324" s="508">
        <f>+H322/H323</f>
        <v>0.15713362488987542</v>
      </c>
      <c r="I324" s="915"/>
      <c r="K324" s="1755"/>
      <c r="L324" s="1762"/>
    </row>
    <row r="325" spans="1:166">
      <c r="A325" s="172">
        <v>167</v>
      </c>
      <c r="B325" s="172"/>
      <c r="C325" s="408" t="s">
        <v>558</v>
      </c>
      <c r="D325" s="408"/>
      <c r="E325" s="1374"/>
      <c r="F325" s="176" t="str">
        <f>"(Line "&amp;A321&amp;" - "&amp;A185&amp;") / "&amp;A323</f>
        <v>(Line 163 - 86) / 165</v>
      </c>
      <c r="G325" s="176"/>
      <c r="H325" s="508">
        <f>(H322-H185)/H323</f>
        <v>0.13231463818760966</v>
      </c>
      <c r="I325" s="915"/>
      <c r="K325" s="1755"/>
      <c r="L325" s="1762"/>
    </row>
    <row r="326" spans="1:166">
      <c r="A326" s="172"/>
      <c r="B326" s="172"/>
      <c r="C326" s="408"/>
      <c r="D326" s="408"/>
      <c r="E326" s="538"/>
      <c r="F326" s="176"/>
      <c r="G326" s="176"/>
      <c r="H326" s="419"/>
      <c r="I326" s="915"/>
    </row>
    <row r="327" spans="1:166">
      <c r="A327" s="172">
        <v>168</v>
      </c>
      <c r="B327" s="172"/>
      <c r="C327" s="408" t="s">
        <v>546</v>
      </c>
      <c r="D327" s="408"/>
      <c r="E327" s="1374"/>
      <c r="F327" s="176" t="str">
        <f>"(Line "&amp;A309&amp;")"</f>
        <v>(Line 156)</v>
      </c>
      <c r="G327" s="176"/>
      <c r="H327" s="536">
        <f>+H309</f>
        <v>187651909.6195347</v>
      </c>
      <c r="I327" s="258"/>
      <c r="J327" s="539"/>
      <c r="K327" s="1755"/>
      <c r="L327" s="1762"/>
    </row>
    <row r="328" spans="1:166">
      <c r="A328" s="172">
        <v>169</v>
      </c>
      <c r="B328" s="172"/>
      <c r="C328" s="408" t="s">
        <v>559</v>
      </c>
      <c r="D328" s="408"/>
      <c r="E328" s="238"/>
      <c r="F328" s="198" t="s">
        <v>940</v>
      </c>
      <c r="G328" s="1031"/>
      <c r="H328" s="258">
        <v>0</v>
      </c>
      <c r="I328" s="258"/>
      <c r="J328" s="539"/>
      <c r="K328" s="1755"/>
      <c r="L328" s="1762"/>
    </row>
    <row r="329" spans="1:166">
      <c r="A329" s="172">
        <v>170</v>
      </c>
      <c r="B329" s="172"/>
      <c r="C329" s="408" t="s">
        <v>560</v>
      </c>
      <c r="D329" s="408"/>
      <c r="E329" s="238"/>
      <c r="F329" s="198" t="s">
        <v>1062</v>
      </c>
      <c r="G329" s="1031"/>
      <c r="H329" s="258">
        <f>'6-Project Rev Req'!N93</f>
        <v>923782.72591592674</v>
      </c>
      <c r="I329" s="258"/>
      <c r="J329" s="165"/>
      <c r="K329" s="1755"/>
      <c r="L329" s="1762"/>
    </row>
    <row r="330" spans="1:166">
      <c r="A330" s="172">
        <v>171</v>
      </c>
      <c r="B330" s="172"/>
      <c r="C330" s="256" t="s">
        <v>561</v>
      </c>
      <c r="D330" s="540"/>
      <c r="E330" s="500"/>
      <c r="F330" s="1040" t="s">
        <v>562</v>
      </c>
      <c r="G330" s="1031"/>
      <c r="H330" s="541">
        <f>+'5 - Cost Support 1'!G193</f>
        <v>0</v>
      </c>
      <c r="I330" s="541"/>
      <c r="J330" s="165"/>
      <c r="K330" s="1755"/>
      <c r="L330" s="1762"/>
      <c r="FJ330" s="114">
        <v>171</v>
      </c>
    </row>
    <row r="331" spans="1:166">
      <c r="A331" s="172" t="s">
        <v>177</v>
      </c>
      <c r="B331" s="172"/>
      <c r="C331" s="256" t="s">
        <v>174</v>
      </c>
      <c r="D331" s="540"/>
      <c r="E331" s="500"/>
      <c r="F331" s="1040" t="s">
        <v>562</v>
      </c>
      <c r="G331" s="1031"/>
      <c r="H331" s="541">
        <v>0</v>
      </c>
      <c r="I331" s="541"/>
      <c r="K331" s="1755"/>
      <c r="L331" s="1762"/>
    </row>
    <row r="332" spans="1:166">
      <c r="A332" s="172">
        <v>172</v>
      </c>
      <c r="B332" s="172"/>
      <c r="C332" s="408" t="s">
        <v>563</v>
      </c>
      <c r="D332" s="540"/>
      <c r="E332" s="1374"/>
      <c r="F332" s="1031" t="str">
        <f>"(Line "&amp;A327&amp;" + "&amp;A328&amp;" + "&amp;170&amp;" + "&amp;A330&amp;" + "&amp;A331&amp;")"</f>
        <v>(Line 168 + 169 + 170 + 171 + 171a)</v>
      </c>
      <c r="G332" s="1031"/>
      <c r="H332" s="536">
        <f>SUM(H327:H331)</f>
        <v>188575692.34545064</v>
      </c>
      <c r="I332" s="258"/>
      <c r="J332" s="539"/>
      <c r="K332" s="1755"/>
      <c r="L332" s="1762"/>
    </row>
    <row r="333" spans="1:166">
      <c r="A333" s="172"/>
      <c r="B333" s="180"/>
      <c r="C333" s="408"/>
      <c r="D333" s="408"/>
      <c r="E333" s="1374"/>
      <c r="F333" s="1031"/>
      <c r="G333" s="1031"/>
      <c r="H333" s="542"/>
      <c r="I333" s="808"/>
      <c r="J333" s="165"/>
    </row>
    <row r="334" spans="1:166">
      <c r="A334" s="172"/>
      <c r="B334" s="181" t="s">
        <v>151</v>
      </c>
      <c r="C334" s="408"/>
      <c r="D334" s="408"/>
      <c r="E334" s="1374"/>
      <c r="F334" s="1031"/>
      <c r="G334" s="1031"/>
      <c r="H334" s="419"/>
      <c r="I334" s="915"/>
    </row>
    <row r="335" spans="1:166">
      <c r="A335" s="172">
        <v>173</v>
      </c>
      <c r="B335" s="180"/>
      <c r="C335" s="176" t="s">
        <v>564</v>
      </c>
      <c r="D335" s="543"/>
      <c r="E335" s="500" t="str">
        <f>"(Note "&amp;B$356&amp;")"</f>
        <v>(Note L)</v>
      </c>
      <c r="F335" s="998" t="s">
        <v>449</v>
      </c>
      <c r="G335" s="998"/>
      <c r="H335" s="1352">
        <f>+'5 - Cost Support 1'!G201</f>
        <v>5829</v>
      </c>
      <c r="I335" s="927"/>
      <c r="J335" s="165"/>
      <c r="K335" s="1755"/>
      <c r="L335" s="1762"/>
    </row>
    <row r="336" spans="1:166">
      <c r="A336" s="172">
        <v>174</v>
      </c>
      <c r="B336" s="180"/>
      <c r="C336" s="176" t="s">
        <v>565</v>
      </c>
      <c r="D336" s="544"/>
      <c r="E336" s="545"/>
      <c r="F336" s="1032" t="str">
        <f>"(Line "&amp;A332&amp;" / "&amp;A335&amp;")"</f>
        <v>(Line 172 / 173)</v>
      </c>
      <c r="G336" s="1343"/>
      <c r="H336" s="1353">
        <f>+H332/H335</f>
        <v>32351.293934714467</v>
      </c>
      <c r="I336" s="928"/>
      <c r="K336" s="1755"/>
      <c r="L336" s="1762"/>
    </row>
    <row r="337" spans="1:12" ht="16" thickBot="1">
      <c r="A337" s="180"/>
      <c r="B337" s="180"/>
      <c r="C337" s="543"/>
      <c r="D337" s="543"/>
      <c r="E337" s="548"/>
      <c r="F337" s="546"/>
      <c r="G337" s="546"/>
      <c r="H337" s="547"/>
      <c r="I337" s="928"/>
    </row>
    <row r="338" spans="1:12" s="446" customFormat="1" ht="18" thickBot="1">
      <c r="A338" s="511">
        <v>175</v>
      </c>
      <c r="B338" s="512"/>
      <c r="C338" s="533" t="s">
        <v>566</v>
      </c>
      <c r="D338" s="512"/>
      <c r="E338" s="512"/>
      <c r="F338" s="512" t="s">
        <v>1002</v>
      </c>
      <c r="G338" s="512"/>
      <c r="H338" s="549">
        <f>+H336</f>
        <v>32351.293934714467</v>
      </c>
      <c r="I338" s="929"/>
      <c r="K338" s="1755"/>
      <c r="L338" s="1762"/>
    </row>
    <row r="339" spans="1:12" s="446" customFormat="1">
      <c r="A339" s="550"/>
      <c r="B339" s="248"/>
      <c r="C339" s="551"/>
      <c r="D339" s="551"/>
      <c r="E339" s="552"/>
      <c r="F339" s="546"/>
      <c r="G339" s="546"/>
      <c r="H339" s="553"/>
      <c r="I339" s="930"/>
      <c r="L339" s="1003"/>
    </row>
    <row r="340" spans="1:12" s="446" customFormat="1" ht="18">
      <c r="A340" s="554"/>
      <c r="B340" s="255" t="s">
        <v>380</v>
      </c>
      <c r="C340" s="551"/>
      <c r="D340" s="551"/>
      <c r="E340" s="552"/>
      <c r="F340" s="546"/>
      <c r="G340" s="546"/>
      <c r="H340" s="553"/>
      <c r="I340" s="930"/>
      <c r="L340" s="1003"/>
    </row>
    <row r="341" spans="1:12" s="446" customFormat="1">
      <c r="A341" s="555"/>
      <c r="B341" s="1374" t="s">
        <v>9</v>
      </c>
      <c r="C341" s="1053" t="s">
        <v>567</v>
      </c>
      <c r="D341" s="1053"/>
      <c r="E341" s="1376"/>
      <c r="F341" s="1377"/>
      <c r="G341" s="1343"/>
      <c r="H341" s="1344"/>
      <c r="I341" s="930"/>
      <c r="L341" s="1003"/>
    </row>
    <row r="342" spans="1:12" s="446" customFormat="1">
      <c r="A342" s="556"/>
      <c r="B342" s="1374" t="s">
        <v>10</v>
      </c>
      <c r="C342" s="171" t="s">
        <v>568</v>
      </c>
      <c r="D342" s="1053"/>
      <c r="E342" s="1376"/>
      <c r="F342" s="1377"/>
      <c r="G342" s="1343"/>
      <c r="H342" s="1344"/>
      <c r="I342" s="930"/>
      <c r="L342" s="1003"/>
    </row>
    <row r="343" spans="1:12" s="446" customFormat="1">
      <c r="A343" s="556"/>
      <c r="B343" s="1374"/>
      <c r="C343" s="171" t="s">
        <v>569</v>
      </c>
      <c r="D343" s="1053"/>
      <c r="E343" s="1376"/>
      <c r="F343" s="1377"/>
      <c r="G343" s="1343"/>
      <c r="H343" s="557"/>
      <c r="I343" s="913"/>
      <c r="L343" s="1003"/>
    </row>
    <row r="344" spans="1:12" s="446" customFormat="1">
      <c r="A344" s="556"/>
      <c r="B344" s="1374"/>
      <c r="C344" s="171" t="s">
        <v>1059</v>
      </c>
      <c r="D344" s="1053"/>
      <c r="E344" s="1376"/>
      <c r="F344" s="1377"/>
      <c r="G344" s="1343"/>
      <c r="H344" s="1344"/>
      <c r="I344" s="930"/>
      <c r="L344" s="1003"/>
    </row>
    <row r="345" spans="1:12" s="446" customFormat="1">
      <c r="A345" s="556"/>
      <c r="B345" s="1374"/>
      <c r="C345" s="171" t="s">
        <v>570</v>
      </c>
      <c r="D345" s="1053"/>
      <c r="E345" s="1376"/>
      <c r="F345" s="1377"/>
      <c r="G345" s="1343"/>
      <c r="H345" s="1344"/>
      <c r="I345" s="930"/>
      <c r="L345" s="1003"/>
    </row>
    <row r="346" spans="1:12" s="446" customFormat="1">
      <c r="A346" s="556"/>
      <c r="B346" s="1374"/>
      <c r="C346" s="171" t="s">
        <v>571</v>
      </c>
      <c r="D346" s="1053"/>
      <c r="E346" s="1376"/>
      <c r="F346" s="1377"/>
      <c r="G346" s="1343"/>
      <c r="H346" s="1344"/>
      <c r="I346" s="930"/>
      <c r="L346" s="1003"/>
    </row>
    <row r="347" spans="1:12" s="446" customFormat="1">
      <c r="A347" s="556"/>
      <c r="B347" s="1374" t="s">
        <v>11</v>
      </c>
      <c r="C347" s="171" t="s">
        <v>572</v>
      </c>
      <c r="D347" s="1053"/>
      <c r="E347" s="1376"/>
      <c r="F347" s="1377"/>
      <c r="G347" s="1343"/>
      <c r="H347" s="1344"/>
      <c r="I347" s="930"/>
      <c r="L347" s="1003"/>
    </row>
    <row r="348" spans="1:12" s="446" customFormat="1">
      <c r="A348" s="556"/>
      <c r="B348" s="1374" t="s">
        <v>14</v>
      </c>
      <c r="C348" s="1053" t="s">
        <v>573</v>
      </c>
      <c r="D348" s="1053"/>
      <c r="E348" s="1376"/>
      <c r="F348" s="1377"/>
      <c r="G348" s="1343"/>
      <c r="H348" s="1344"/>
      <c r="I348" s="930"/>
      <c r="L348" s="1003"/>
    </row>
    <row r="349" spans="1:12" s="446" customFormat="1">
      <c r="A349" s="556"/>
      <c r="B349" s="1374" t="s">
        <v>166</v>
      </c>
      <c r="C349" s="1053" t="s">
        <v>574</v>
      </c>
      <c r="D349" s="1053"/>
      <c r="E349" s="1376"/>
      <c r="F349" s="1377"/>
      <c r="G349" s="1343"/>
      <c r="H349" s="1344"/>
      <c r="I349" s="930"/>
      <c r="L349" s="1003"/>
    </row>
    <row r="350" spans="1:12" s="446" customFormat="1">
      <c r="A350" s="556"/>
      <c r="B350" s="1374" t="s">
        <v>169</v>
      </c>
      <c r="C350" s="1053" t="s">
        <v>575</v>
      </c>
      <c r="D350" s="1053"/>
      <c r="E350" s="1376"/>
      <c r="F350" s="1377"/>
      <c r="G350" s="1343"/>
      <c r="H350" s="1344"/>
      <c r="I350" s="930"/>
      <c r="L350" s="1003"/>
    </row>
    <row r="351" spans="1:12" s="446" customFormat="1">
      <c r="A351" s="556"/>
      <c r="B351" s="1374" t="s">
        <v>171</v>
      </c>
      <c r="C351" s="1053" t="s">
        <v>576</v>
      </c>
      <c r="D351" s="1053"/>
      <c r="E351" s="1376"/>
      <c r="F351" s="1377"/>
      <c r="G351" s="1343"/>
      <c r="H351" s="1344"/>
      <c r="I351" s="930"/>
      <c r="L351" s="1003"/>
    </row>
    <row r="352" spans="1:12" s="446" customFormat="1" ht="15.75" customHeight="1">
      <c r="A352" s="556"/>
      <c r="B352" s="1374" t="s">
        <v>577</v>
      </c>
      <c r="C352" s="1825" t="s">
        <v>1877</v>
      </c>
      <c r="D352" s="1825"/>
      <c r="E352" s="1825"/>
      <c r="F352" s="1825"/>
      <c r="G352" s="1343"/>
      <c r="H352" s="1344"/>
      <c r="I352" s="930"/>
      <c r="L352" s="1003"/>
    </row>
    <row r="353" spans="1:12" s="446" customFormat="1">
      <c r="A353" s="556"/>
      <c r="B353" s="1374"/>
      <c r="C353" s="1825"/>
      <c r="D353" s="1825"/>
      <c r="E353" s="1825"/>
      <c r="F353" s="1825"/>
      <c r="G353" s="1343"/>
      <c r="H353" s="1344"/>
      <c r="I353" s="930"/>
      <c r="L353" s="1003"/>
    </row>
    <row r="354" spans="1:12" s="446" customFormat="1" ht="15.75" customHeight="1">
      <c r="A354" s="556"/>
      <c r="B354" s="1375" t="s">
        <v>578</v>
      </c>
      <c r="C354" s="1827" t="s">
        <v>17</v>
      </c>
      <c r="D354" s="1828"/>
      <c r="E354" s="1828"/>
      <c r="F354" s="1828"/>
      <c r="G354" s="1343"/>
      <c r="H354" s="1344"/>
      <c r="I354" s="930"/>
      <c r="L354" s="1003"/>
    </row>
    <row r="355" spans="1:12" s="446" customFormat="1">
      <c r="A355" s="556"/>
      <c r="B355" s="1374" t="s">
        <v>579</v>
      </c>
      <c r="C355" s="1053" t="s">
        <v>580</v>
      </c>
      <c r="D355" s="1053"/>
      <c r="E355" s="1376"/>
      <c r="F355" s="1377"/>
      <c r="G355" s="1343"/>
      <c r="H355" s="1344"/>
      <c r="I355" s="930"/>
      <c r="L355" s="1003"/>
    </row>
    <row r="356" spans="1:12">
      <c r="A356" s="558"/>
      <c r="B356" s="1374" t="s">
        <v>581</v>
      </c>
      <c r="C356" s="1053" t="s">
        <v>582</v>
      </c>
      <c r="D356" s="1053"/>
      <c r="E356" s="1376"/>
      <c r="F356" s="1377"/>
      <c r="G356" s="1343"/>
      <c r="H356" s="1344"/>
      <c r="I356" s="930"/>
    </row>
    <row r="357" spans="1:12">
      <c r="A357" s="558"/>
      <c r="B357" s="1374" t="s">
        <v>583</v>
      </c>
      <c r="C357" s="1053" t="s">
        <v>584</v>
      </c>
      <c r="D357" s="1053"/>
      <c r="E357" s="1376"/>
      <c r="F357" s="1377"/>
      <c r="G357" s="1343"/>
      <c r="H357" s="1344"/>
      <c r="I357" s="930"/>
    </row>
    <row r="358" spans="1:12">
      <c r="A358" s="558"/>
      <c r="B358" s="1374" t="s">
        <v>585</v>
      </c>
      <c r="C358" s="1378" t="s">
        <v>586</v>
      </c>
      <c r="D358" s="1053"/>
      <c r="E358" s="1376"/>
      <c r="F358" s="1377"/>
      <c r="G358" s="1343"/>
      <c r="H358" s="1344"/>
      <c r="I358" s="930"/>
    </row>
    <row r="359" spans="1:12">
      <c r="A359" s="558"/>
      <c r="B359" s="1374"/>
      <c r="C359" s="1378" t="s">
        <v>587</v>
      </c>
      <c r="D359" s="1053"/>
      <c r="E359" s="1376"/>
      <c r="F359" s="1377"/>
      <c r="G359" s="1343"/>
      <c r="H359" s="1344"/>
      <c r="I359" s="930"/>
    </row>
    <row r="360" spans="1:12">
      <c r="A360" s="558"/>
      <c r="B360" s="1374"/>
      <c r="C360" s="1378" t="str">
        <f>"  Interest on the Network Credits as booked each year is added to the revenue requirement to make the Transmisision Owner whole on Line "&amp;A307&amp;"."</f>
        <v xml:space="preserve">  Interest on the Network Credits as booked each year is added to the revenue requirement to make the Transmisision Owner whole on Line 155.</v>
      </c>
      <c r="D360" s="1053"/>
      <c r="E360" s="1376"/>
      <c r="F360" s="1377"/>
      <c r="G360" s="1343"/>
      <c r="H360" s="1344"/>
      <c r="I360" s="930"/>
    </row>
    <row r="361" spans="1:12">
      <c r="A361" s="558"/>
      <c r="B361" s="1374" t="s">
        <v>588</v>
      </c>
      <c r="C361" s="1378"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61" s="1053"/>
      <c r="E361" s="1376"/>
      <c r="F361" s="1377"/>
      <c r="G361" s="1343"/>
      <c r="H361" s="1344"/>
      <c r="I361" s="930"/>
    </row>
    <row r="362" spans="1:12" s="446" customFormat="1">
      <c r="A362" s="559"/>
      <c r="B362" s="1374"/>
      <c r="C362" s="1378" t="str">
        <f>"  If they are booked to Acct 565, they are included in on line "&amp;A149&amp;""</f>
        <v xml:space="preserve">  If they are booked to Acct 565, they are included in on line 64</v>
      </c>
      <c r="D362" s="1053"/>
      <c r="E362" s="1376"/>
      <c r="F362" s="1377"/>
      <c r="G362" s="560"/>
      <c r="H362" s="560"/>
      <c r="I362" s="931"/>
      <c r="L362" s="1003"/>
    </row>
    <row r="363" spans="1:12" ht="17.5">
      <c r="A363" s="110"/>
      <c r="B363" s="1374" t="s">
        <v>589</v>
      </c>
      <c r="C363" s="1378" t="s">
        <v>590</v>
      </c>
      <c r="D363" s="1379"/>
      <c r="E363" s="1379"/>
      <c r="F363" s="1379"/>
      <c r="G363" s="1343"/>
      <c r="H363" s="1344"/>
      <c r="I363" s="930"/>
    </row>
    <row r="364" spans="1:12">
      <c r="A364" s="259"/>
      <c r="B364" s="1374" t="s">
        <v>591</v>
      </c>
      <c r="C364" s="880" t="s">
        <v>1392</v>
      </c>
      <c r="D364" s="1053"/>
      <c r="E364" s="1376"/>
      <c r="F364" s="1377"/>
      <c r="G364" s="1343"/>
      <c r="H364" s="1344"/>
      <c r="I364" s="930"/>
    </row>
    <row r="365" spans="1:12">
      <c r="A365" s="259"/>
      <c r="B365" s="1374" t="s">
        <v>592</v>
      </c>
      <c r="C365" s="1053" t="s">
        <v>593</v>
      </c>
      <c r="D365" s="1053"/>
      <c r="E365" s="1376"/>
      <c r="F365" s="1377"/>
      <c r="G365" s="1343"/>
      <c r="H365" s="1344"/>
      <c r="I365" s="930"/>
    </row>
    <row r="366" spans="1:12">
      <c r="A366" s="259"/>
      <c r="B366" s="1380"/>
      <c r="C366" s="1053" t="s">
        <v>594</v>
      </c>
      <c r="D366" s="1053"/>
      <c r="E366" s="1376"/>
      <c r="F366" s="1377"/>
      <c r="G366" s="1343"/>
      <c r="H366" s="1344"/>
      <c r="I366" s="930"/>
    </row>
    <row r="367" spans="1:12" s="1053" customFormat="1">
      <c r="A367" s="1054"/>
      <c r="B367" s="1374" t="s">
        <v>595</v>
      </c>
      <c r="C367" s="1053" t="s">
        <v>596</v>
      </c>
      <c r="E367" s="1376"/>
      <c r="F367" s="1377"/>
      <c r="G367" s="1343"/>
      <c r="H367" s="1344"/>
      <c r="I367" s="930"/>
    </row>
    <row r="368" spans="1:12" ht="32.25" customHeight="1">
      <c r="A368" s="259"/>
      <c r="B368" s="1374" t="s">
        <v>231</v>
      </c>
      <c r="C368" s="1053" t="s">
        <v>1471</v>
      </c>
      <c r="D368" s="1053"/>
      <c r="E368" s="1376"/>
      <c r="F368" s="1377"/>
      <c r="G368" s="1343"/>
      <c r="H368" s="1344"/>
      <c r="I368" s="930"/>
    </row>
    <row r="369" spans="1:9" s="1053" customFormat="1" ht="15.75" customHeight="1">
      <c r="A369" s="1054"/>
      <c r="B369" s="1374" t="s">
        <v>1058</v>
      </c>
      <c r="C369" s="1825" t="s">
        <v>1472</v>
      </c>
      <c r="D369" s="1825"/>
      <c r="E369" s="1825"/>
      <c r="F369" s="1825"/>
      <c r="G369" s="1343"/>
      <c r="H369" s="1344"/>
      <c r="I369" s="930"/>
    </row>
    <row r="370" spans="1:9" ht="15.75" customHeight="1">
      <c r="A370" s="259"/>
      <c r="B370" s="1374"/>
      <c r="C370" s="1825"/>
      <c r="D370" s="1825"/>
      <c r="E370" s="1825"/>
      <c r="F370" s="1825"/>
      <c r="G370" s="1343"/>
      <c r="H370" s="1344"/>
      <c r="I370" s="930"/>
    </row>
    <row r="371" spans="1:9" s="1053" customFormat="1">
      <c r="A371" s="1054"/>
      <c r="B371" s="1375" t="s">
        <v>1208</v>
      </c>
      <c r="C371" s="1824" t="s">
        <v>1473</v>
      </c>
      <c r="D371" s="1824"/>
      <c r="E371" s="1824"/>
      <c r="F371" s="1824"/>
      <c r="G371" s="1343"/>
      <c r="H371" s="1344"/>
      <c r="I371" s="930"/>
    </row>
    <row r="372" spans="1:9" s="1053" customFormat="1">
      <c r="A372" s="1054"/>
      <c r="B372" s="1375"/>
      <c r="C372" s="1824"/>
      <c r="D372" s="1824"/>
      <c r="E372" s="1824"/>
      <c r="F372" s="1824"/>
      <c r="G372" s="1343"/>
      <c r="H372" s="1344"/>
      <c r="I372" s="930"/>
    </row>
    <row r="373" spans="1:9" s="1053" customFormat="1">
      <c r="A373" s="1054"/>
      <c r="B373" s="1375"/>
      <c r="C373" s="1824"/>
      <c r="D373" s="1824"/>
      <c r="E373" s="1824"/>
      <c r="F373" s="1824"/>
      <c r="G373" s="1343"/>
      <c r="H373" s="1344"/>
      <c r="I373" s="930"/>
    </row>
    <row r="374" spans="1:9" s="1053" customFormat="1">
      <c r="A374" s="1054"/>
      <c r="B374" s="1375"/>
      <c r="C374" s="1824"/>
      <c r="D374" s="1824"/>
      <c r="E374" s="1824"/>
      <c r="F374" s="1824"/>
      <c r="G374" s="1343"/>
      <c r="H374" s="1344"/>
      <c r="I374" s="930"/>
    </row>
    <row r="375" spans="1:9" s="1053" customFormat="1">
      <c r="A375" s="1054"/>
      <c r="B375" s="1375"/>
      <c r="C375" s="1824"/>
      <c r="D375" s="1824"/>
      <c r="E375" s="1824"/>
      <c r="F375" s="1824"/>
      <c r="G375" s="1343"/>
      <c r="H375" s="1344"/>
      <c r="I375" s="930"/>
    </row>
    <row r="376" spans="1:9" s="1053" customFormat="1">
      <c r="A376" s="1054"/>
      <c r="B376" s="1375"/>
      <c r="C376" s="1824"/>
      <c r="D376" s="1824"/>
      <c r="E376" s="1824"/>
      <c r="F376" s="1824"/>
      <c r="G376" s="1343"/>
      <c r="H376" s="1344"/>
      <c r="I376" s="930"/>
    </row>
    <row r="377" spans="1:9" s="1053" customFormat="1">
      <c r="A377" s="1054"/>
      <c r="B377" s="1375"/>
      <c r="C377" s="1824"/>
      <c r="D377" s="1824"/>
      <c r="E377" s="1824"/>
      <c r="F377" s="1824"/>
      <c r="G377" s="1343"/>
      <c r="H377" s="1344"/>
      <c r="I377" s="930"/>
    </row>
    <row r="378" spans="1:9" s="1053" customFormat="1">
      <c r="A378" s="1054"/>
      <c r="B378" s="1375"/>
      <c r="C378" s="1824"/>
      <c r="D378" s="1824"/>
      <c r="E378" s="1824"/>
      <c r="F378" s="1824"/>
      <c r="G378" s="1343"/>
      <c r="H378" s="1344"/>
      <c r="I378" s="930"/>
    </row>
    <row r="379" spans="1:9" s="1053" customFormat="1">
      <c r="A379" s="1054"/>
      <c r="B379" s="1375"/>
      <c r="C379" s="1824"/>
      <c r="D379" s="1824"/>
      <c r="E379" s="1824"/>
      <c r="F379" s="1824"/>
      <c r="G379" s="1343"/>
      <c r="H379" s="1344"/>
      <c r="I379" s="930"/>
    </row>
    <row r="380" spans="1:9" ht="15.75" customHeight="1">
      <c r="A380" s="259"/>
      <c r="B380" s="1375"/>
      <c r="C380" s="1824"/>
      <c r="D380" s="1824"/>
      <c r="E380" s="1824"/>
      <c r="F380" s="1824"/>
      <c r="G380" s="1343"/>
      <c r="H380" s="1344"/>
      <c r="I380" s="930"/>
    </row>
    <row r="381" spans="1:9" s="1053" customFormat="1" ht="15.75" customHeight="1">
      <c r="A381" s="1054"/>
      <c r="B381" s="1375" t="s">
        <v>1210</v>
      </c>
      <c r="C381" s="1825" t="s">
        <v>1474</v>
      </c>
      <c r="D381" s="1825"/>
      <c r="E381" s="1825"/>
      <c r="F381" s="1825"/>
      <c r="G381" s="1343"/>
      <c r="H381" s="1344"/>
      <c r="I381" s="930"/>
    </row>
    <row r="382" spans="1:9" s="1053" customFormat="1">
      <c r="A382" s="1054"/>
      <c r="B382" s="1375"/>
      <c r="C382" s="1825"/>
      <c r="D382" s="1825"/>
      <c r="E382" s="1825"/>
      <c r="F382" s="1825"/>
      <c r="G382" s="1343"/>
      <c r="H382" s="1344"/>
      <c r="I382" s="930"/>
    </row>
    <row r="383" spans="1:9" s="1053" customFormat="1">
      <c r="A383" s="1054"/>
      <c r="B383" s="1375"/>
      <c r="C383" s="1825"/>
      <c r="D383" s="1825"/>
      <c r="E383" s="1825"/>
      <c r="F383" s="1825"/>
      <c r="G383" s="1343"/>
      <c r="H383" s="1344"/>
      <c r="I383" s="930"/>
    </row>
    <row r="384" spans="1:9" ht="33" customHeight="1">
      <c r="A384" s="259"/>
      <c r="B384" s="1375"/>
      <c r="C384" s="1825"/>
      <c r="D384" s="1825"/>
      <c r="E384" s="1825"/>
      <c r="F384" s="1825"/>
      <c r="G384" s="1343"/>
      <c r="H384" s="1344"/>
      <c r="I384" s="930"/>
    </row>
    <row r="385" spans="1:9" ht="34.5" customHeight="1">
      <c r="A385" s="259"/>
      <c r="B385" s="1375" t="s">
        <v>1212</v>
      </c>
      <c r="C385" s="1826" t="s">
        <v>1209</v>
      </c>
      <c r="D385" s="1826"/>
      <c r="E385" s="1826"/>
      <c r="F385" s="1826"/>
      <c r="G385" s="1343"/>
      <c r="H385" s="1344"/>
      <c r="I385" s="930"/>
    </row>
    <row r="386" spans="1:9" ht="33" customHeight="1">
      <c r="A386" s="259"/>
      <c r="B386" s="1375" t="s">
        <v>1382</v>
      </c>
      <c r="C386" s="1826" t="s">
        <v>1211</v>
      </c>
      <c r="D386" s="1826"/>
      <c r="E386" s="1826"/>
      <c r="F386" s="1826"/>
      <c r="G386" s="1343"/>
      <c r="H386" s="1344"/>
      <c r="I386" s="930"/>
    </row>
    <row r="387" spans="1:9" ht="33.75" customHeight="1">
      <c r="A387" s="259"/>
      <c r="B387" s="1375" t="s">
        <v>1475</v>
      </c>
      <c r="C387" s="1826" t="s">
        <v>1213</v>
      </c>
      <c r="D387" s="1826"/>
      <c r="E387" s="1826"/>
      <c r="F387" s="1826"/>
      <c r="G387" s="1343"/>
      <c r="H387" s="1344"/>
      <c r="I387" s="930"/>
    </row>
    <row r="388" spans="1:9" ht="15.75" customHeight="1">
      <c r="A388" s="181"/>
      <c r="B388" s="1375" t="s">
        <v>1476</v>
      </c>
      <c r="C388" s="1824" t="s">
        <v>1512</v>
      </c>
      <c r="D388" s="1824"/>
      <c r="E388" s="1824"/>
      <c r="F388" s="1824"/>
      <c r="G388" s="1031"/>
      <c r="H388" s="239"/>
      <c r="I388" s="932"/>
    </row>
    <row r="389" spans="1:9">
      <c r="A389" s="561" t="s">
        <v>597</v>
      </c>
      <c r="B389" s="562"/>
      <c r="C389" s="169"/>
      <c r="D389" s="234"/>
      <c r="E389" s="563"/>
      <c r="F389" s="234"/>
      <c r="G389" s="234"/>
      <c r="H389" s="169"/>
    </row>
    <row r="390" spans="1:9">
      <c r="A390" s="181"/>
      <c r="B390" s="1033"/>
      <c r="C390" s="1053"/>
      <c r="D390" s="1053"/>
      <c r="E390" s="1122"/>
      <c r="F390" s="1053"/>
      <c r="G390" s="1053"/>
      <c r="H390" s="1053"/>
    </row>
    <row r="391" spans="1:9">
      <c r="B391" s="1031"/>
      <c r="C391" s="1031"/>
      <c r="D391" s="1031"/>
      <c r="E391" s="1122"/>
      <c r="F391" s="1053"/>
      <c r="G391" s="1053"/>
      <c r="H391" s="564"/>
      <c r="I391" s="892"/>
    </row>
    <row r="392" spans="1:9">
      <c r="B392" s="1031"/>
      <c r="C392" s="1031"/>
      <c r="D392" s="1031"/>
      <c r="E392" s="1122"/>
      <c r="F392" s="1053"/>
      <c r="G392" s="1053"/>
      <c r="H392" s="565"/>
      <c r="I392" s="933"/>
    </row>
    <row r="393" spans="1:9">
      <c r="H393" s="566"/>
      <c r="I393" s="934"/>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88:F388"/>
    <mergeCell ref="C352:F353"/>
    <mergeCell ref="C385:F385"/>
    <mergeCell ref="C387:F387"/>
    <mergeCell ref="C386:F386"/>
    <mergeCell ref="C354:F354"/>
    <mergeCell ref="C369:F370"/>
    <mergeCell ref="C371:F380"/>
    <mergeCell ref="C381:F384"/>
  </mergeCells>
  <pageMargins left="0.5" right="0.5" top="0.5" bottom="0.5" header="0.5" footer="0.5"/>
  <pageSetup scale="35" fitToHeight="3" orientation="portrait" r:id="rId2"/>
  <rowBreaks count="3" manualBreakCount="3">
    <brk id="129" max="7" man="1"/>
    <brk id="252" max="7" man="1"/>
    <brk id="3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508F-072C-44FC-8A06-0E62A2B861AF}">
  <dimension ref="A1:S204"/>
  <sheetViews>
    <sheetView view="pageBreakPreview" zoomScale="60" zoomScaleNormal="80" workbookViewId="0">
      <selection activeCell="A160" sqref="A159:XFD160"/>
    </sheetView>
  </sheetViews>
  <sheetFormatPr defaultColWidth="9.1796875" defaultRowHeight="12.5"/>
  <cols>
    <col min="1" max="1" width="5.7265625" style="945" customWidth="1"/>
    <col min="2" max="2" width="9.453125" style="1131" customWidth="1"/>
    <col min="3" max="3" width="5.7265625" style="945" customWidth="1"/>
    <col min="4" max="4" width="32.1796875" style="945" customWidth="1"/>
    <col min="5" max="5" width="14.453125" style="945" customWidth="1"/>
    <col min="6" max="6" width="21.81640625" style="945" customWidth="1"/>
    <col min="7" max="7" width="15.1796875" style="945" customWidth="1"/>
    <col min="8" max="8" width="22.7265625" style="945" customWidth="1"/>
    <col min="9" max="9" width="3.81640625" style="945" customWidth="1"/>
    <col min="10" max="10" width="23.1796875" style="945" customWidth="1"/>
    <col min="11" max="11" width="21.81640625" style="945" customWidth="1"/>
    <col min="12" max="12" width="24.54296875" style="945" customWidth="1"/>
    <col min="13" max="13" width="3.81640625" style="945" customWidth="1"/>
    <col min="14" max="14" width="19.7265625" style="945" customWidth="1"/>
    <col min="15" max="15" width="25.453125" style="945" customWidth="1"/>
    <col min="16" max="16" width="24.7265625" style="945" customWidth="1"/>
    <col min="17" max="17" width="25" style="945" customWidth="1"/>
    <col min="18" max="18" width="26.54296875" style="945" customWidth="1"/>
    <col min="19" max="19" width="3.81640625" style="945" customWidth="1"/>
    <col min="20" max="16384" width="9.1796875" style="945"/>
  </cols>
  <sheetData>
    <row r="1" spans="1:19" ht="15.5">
      <c r="A1" s="1839" t="s">
        <v>343</v>
      </c>
      <c r="B1" s="1839"/>
      <c r="C1" s="1839"/>
      <c r="D1" s="1839"/>
      <c r="E1" s="1839"/>
      <c r="F1" s="1839"/>
      <c r="G1" s="1839"/>
      <c r="H1" s="1839"/>
      <c r="I1" s="1839"/>
      <c r="J1" s="1839"/>
      <c r="K1" s="1839"/>
      <c r="L1" s="1839"/>
      <c r="M1" s="1839"/>
      <c r="N1" s="1839"/>
      <c r="O1" s="1839"/>
      <c r="P1" s="1839"/>
      <c r="Q1" s="1839"/>
      <c r="R1" s="1839"/>
      <c r="S1" s="1128"/>
    </row>
    <row r="2" spans="1:19" ht="15.5">
      <c r="A2" s="1839" t="s">
        <v>1561</v>
      </c>
      <c r="B2" s="1839"/>
      <c r="C2" s="1839"/>
      <c r="D2" s="1839"/>
      <c r="E2" s="1839"/>
      <c r="F2" s="1839"/>
      <c r="G2" s="1839"/>
      <c r="H2" s="1839"/>
      <c r="I2" s="1839"/>
      <c r="J2" s="1839"/>
      <c r="K2" s="1839"/>
      <c r="L2" s="1839"/>
      <c r="M2" s="1839"/>
      <c r="N2" s="1839"/>
      <c r="O2" s="1839"/>
      <c r="P2" s="1839"/>
      <c r="Q2" s="1839"/>
      <c r="R2" s="1839"/>
      <c r="S2" s="1128"/>
    </row>
    <row r="3" spans="1:19" ht="15.5">
      <c r="A3" s="1839" t="s">
        <v>1562</v>
      </c>
      <c r="B3" s="1839"/>
      <c r="C3" s="1839"/>
      <c r="D3" s="1839"/>
      <c r="E3" s="1839"/>
      <c r="F3" s="1839"/>
      <c r="G3" s="1839"/>
      <c r="H3" s="1839"/>
      <c r="I3" s="1839"/>
      <c r="J3" s="1839"/>
      <c r="K3" s="1839"/>
      <c r="L3" s="1839"/>
      <c r="M3" s="1839"/>
      <c r="N3" s="1839"/>
      <c r="O3" s="1839"/>
      <c r="P3" s="1839"/>
      <c r="Q3" s="1839"/>
      <c r="R3" s="1839"/>
      <c r="S3" s="1128"/>
    </row>
    <row r="4" spans="1:19" ht="13">
      <c r="A4" s="1128"/>
      <c r="B4" s="1129"/>
      <c r="C4" s="1128"/>
    </row>
    <row r="5" spans="1:19" s="880" customFormat="1" ht="15.5">
      <c r="B5" s="1130"/>
      <c r="D5" s="880" t="s">
        <v>1063</v>
      </c>
      <c r="E5" s="882" t="s">
        <v>2149</v>
      </c>
      <c r="F5" s="883"/>
      <c r="G5" s="883"/>
      <c r="H5" s="883"/>
    </row>
    <row r="6" spans="1:19" ht="13">
      <c r="D6" s="1128"/>
    </row>
    <row r="7" spans="1:19" ht="13">
      <c r="D7" s="1128" t="s">
        <v>1064</v>
      </c>
      <c r="J7" s="1831"/>
      <c r="K7" s="1831"/>
      <c r="L7" s="1831"/>
      <c r="N7" s="1831"/>
      <c r="O7" s="1831"/>
      <c r="P7" s="1831"/>
      <c r="Q7" s="1831"/>
      <c r="R7" s="1831"/>
    </row>
    <row r="8" spans="1:19" ht="13">
      <c r="D8" s="1832" t="s">
        <v>1065</v>
      </c>
      <c r="E8" s="1833"/>
      <c r="F8" s="1833"/>
      <c r="G8" s="1833"/>
      <c r="H8" s="1834"/>
      <c r="I8" s="1132"/>
      <c r="J8" s="1835" t="s">
        <v>1563</v>
      </c>
      <c r="K8" s="1836"/>
      <c r="L8" s="1837"/>
      <c r="M8" s="1132"/>
      <c r="N8" s="1835" t="s">
        <v>1564</v>
      </c>
      <c r="O8" s="1836"/>
      <c r="P8" s="1836"/>
      <c r="Q8" s="1836"/>
      <c r="R8" s="1837"/>
      <c r="S8" s="1132"/>
    </row>
    <row r="9" spans="1:19" ht="13">
      <c r="D9" s="1133" t="s">
        <v>216</v>
      </c>
      <c r="E9" s="1133" t="s">
        <v>217</v>
      </c>
      <c r="F9" s="1133" t="s">
        <v>1565</v>
      </c>
      <c r="G9" s="1133" t="s">
        <v>1566</v>
      </c>
      <c r="H9" s="1133" t="s">
        <v>1567</v>
      </c>
      <c r="I9" s="1132"/>
      <c r="J9" s="1133" t="s">
        <v>1568</v>
      </c>
      <c r="K9" s="1133" t="s">
        <v>1569</v>
      </c>
      <c r="L9" s="1133" t="s">
        <v>1570</v>
      </c>
      <c r="M9" s="1132"/>
      <c r="N9" s="1133" t="s">
        <v>1571</v>
      </c>
      <c r="O9" s="1133" t="s">
        <v>1572</v>
      </c>
      <c r="P9" s="1133" t="s">
        <v>1573</v>
      </c>
      <c r="Q9" s="1133" t="s">
        <v>1574</v>
      </c>
      <c r="R9" s="1133" t="s">
        <v>1575</v>
      </c>
      <c r="S9" s="1132"/>
    </row>
    <row r="10" spans="1:19" ht="63" customHeight="1">
      <c r="B10" s="1134" t="s">
        <v>1576</v>
      </c>
      <c r="D10" s="1135" t="s">
        <v>211</v>
      </c>
      <c r="E10" s="1135" t="s">
        <v>1066</v>
      </c>
      <c r="F10" s="1135" t="s">
        <v>1160</v>
      </c>
      <c r="G10" s="1135" t="s">
        <v>1159</v>
      </c>
      <c r="H10" s="1135" t="s">
        <v>1577</v>
      </c>
      <c r="I10" s="1361"/>
      <c r="J10" s="1135" t="s">
        <v>1069</v>
      </c>
      <c r="K10" s="1135" t="s">
        <v>1578</v>
      </c>
      <c r="L10" s="1135" t="s">
        <v>1579</v>
      </c>
      <c r="M10" s="1361"/>
      <c r="N10" s="1135" t="s">
        <v>1158</v>
      </c>
      <c r="O10" s="1135" t="s">
        <v>1580</v>
      </c>
      <c r="P10" s="1135" t="s">
        <v>1581</v>
      </c>
      <c r="Q10" s="1135" t="s">
        <v>1582</v>
      </c>
      <c r="R10" s="1135" t="s">
        <v>1583</v>
      </c>
      <c r="S10" s="1361"/>
    </row>
    <row r="11" spans="1:19">
      <c r="E11" s="1361"/>
      <c r="F11" s="1361"/>
      <c r="G11" s="1361"/>
      <c r="H11" s="1361"/>
      <c r="I11" s="1361"/>
      <c r="J11" s="1361"/>
      <c r="K11" s="1361"/>
      <c r="L11" s="1361"/>
      <c r="M11" s="1361"/>
      <c r="N11" s="1361"/>
      <c r="O11" s="1361"/>
      <c r="P11" s="1361"/>
      <c r="Q11" s="1361"/>
      <c r="R11" s="1361"/>
      <c r="S11" s="1361"/>
    </row>
    <row r="12" spans="1:19">
      <c r="B12" s="1131">
        <v>1</v>
      </c>
      <c r="D12" s="945" t="s">
        <v>1157</v>
      </c>
      <c r="E12" s="1361"/>
      <c r="F12" s="1361"/>
      <c r="G12" s="1361"/>
      <c r="H12" s="1361"/>
      <c r="I12" s="1361"/>
      <c r="J12" s="1136" t="s">
        <v>1957</v>
      </c>
      <c r="K12" s="1361"/>
      <c r="L12" s="1136">
        <v>0</v>
      </c>
      <c r="M12" s="1361"/>
      <c r="N12" s="1136" t="s">
        <v>1957</v>
      </c>
      <c r="O12" s="1361"/>
      <c r="P12" s="1361"/>
      <c r="Q12" s="1361"/>
      <c r="R12" s="1136">
        <v>0</v>
      </c>
      <c r="S12" s="1361"/>
    </row>
    <row r="13" spans="1:19">
      <c r="E13" s="1361"/>
      <c r="F13" s="1361"/>
      <c r="G13" s="1361"/>
      <c r="H13" s="1361"/>
      <c r="I13" s="1361"/>
      <c r="J13" s="1361"/>
      <c r="K13" s="1361"/>
      <c r="L13" s="1361"/>
      <c r="M13" s="1361"/>
      <c r="N13" s="1361"/>
      <c r="O13" s="1361"/>
      <c r="P13" s="1361"/>
      <c r="Q13" s="1361"/>
      <c r="R13" s="1361"/>
      <c r="S13" s="1361"/>
    </row>
    <row r="14" spans="1:19">
      <c r="B14" s="1131">
        <f>B12+1</f>
        <v>2</v>
      </c>
      <c r="D14" s="1137" t="s">
        <v>634</v>
      </c>
      <c r="E14" s="1136">
        <v>31</v>
      </c>
      <c r="F14" s="1138">
        <v>0</v>
      </c>
      <c r="G14" s="1138">
        <v>214</v>
      </c>
      <c r="H14" s="1139">
        <f t="shared" ref="H14:H25" si="0">IF(F14=0,0.5,F14/G14)</f>
        <v>0.5</v>
      </c>
      <c r="I14" s="1140"/>
      <c r="J14" s="1136">
        <v>0</v>
      </c>
      <c r="K14" s="1141">
        <f t="shared" ref="K14:K25" si="1">+J14*H14</f>
        <v>0</v>
      </c>
      <c r="L14" s="1141">
        <f>+K14+L12</f>
        <v>0</v>
      </c>
      <c r="M14" s="1140"/>
      <c r="N14" s="1136">
        <v>0</v>
      </c>
      <c r="O14" s="1141">
        <f>IF($D$177="True-Up Adjustment",N14-J14,0)</f>
        <v>0</v>
      </c>
      <c r="P14" s="1141">
        <f>IF($D$177="True-Up Adjustment",IF(AND(J14&gt;=0,N14&gt;=0),IF(O14&gt;=0,K14+O14,N14/J14*K14),IF(AND(J14&lt;0,N14&lt;0),IF(O14&lt;0,K14+O14,N14/J14*K14),0)),0)</f>
        <v>0</v>
      </c>
      <c r="Q14" s="1141">
        <f t="shared" ref="Q14:Q25" si="2">IF(AND(J14&gt;=0,N14&lt;0),N14,IF(AND(J14&lt;0,N14&gt;=0),N14,0))</f>
        <v>0</v>
      </c>
      <c r="R14" s="1141">
        <f>+Q14+R12</f>
        <v>0</v>
      </c>
      <c r="S14" s="1140"/>
    </row>
    <row r="15" spans="1:19">
      <c r="B15" s="1131">
        <f t="shared" ref="B15:B26" si="3">+B14+1</f>
        <v>3</v>
      </c>
      <c r="D15" s="1137" t="s">
        <v>635</v>
      </c>
      <c r="E15" s="1136">
        <v>28</v>
      </c>
      <c r="F15" s="1138">
        <v>0</v>
      </c>
      <c r="G15" s="1138">
        <f t="shared" ref="G15:G25" si="4">G14</f>
        <v>214</v>
      </c>
      <c r="H15" s="1139">
        <f t="shared" si="0"/>
        <v>0.5</v>
      </c>
      <c r="I15" s="1140"/>
      <c r="J15" s="1136">
        <v>0</v>
      </c>
      <c r="K15" s="1141">
        <f>+J15*H15</f>
        <v>0</v>
      </c>
      <c r="L15" s="1141">
        <f t="shared" ref="L15:L25" si="5">+K15+L14</f>
        <v>0</v>
      </c>
      <c r="M15" s="1140"/>
      <c r="N15" s="1136">
        <v>0</v>
      </c>
      <c r="O15" s="1141">
        <f t="shared" ref="O15:O25" si="6">IF($D$177="True-Up Adjustment",N15-J15,0)</f>
        <v>0</v>
      </c>
      <c r="P15" s="1141">
        <f t="shared" ref="P15:P25" si="7">IF($D$177="True-Up Adjustment",IF(AND(J15&gt;=0,N15&gt;=0),IF(O15&gt;=0,K15+O15,N15/J15*K15),IF(AND(J15&lt;0,N15&lt;0),IF(O15&lt;0,K15+O15,N15/J15*K15),0)),0)</f>
        <v>0</v>
      </c>
      <c r="Q15" s="1141">
        <f t="shared" si="2"/>
        <v>0</v>
      </c>
      <c r="R15" s="1141">
        <f t="shared" ref="R15:R25" si="8">R14+P15+Q15</f>
        <v>0</v>
      </c>
      <c r="S15" s="1140"/>
    </row>
    <row r="16" spans="1:19">
      <c r="B16" s="1131">
        <f t="shared" si="3"/>
        <v>4</v>
      </c>
      <c r="D16" s="1137" t="s">
        <v>662</v>
      </c>
      <c r="E16" s="1136">
        <v>31</v>
      </c>
      <c r="F16" s="1138">
        <v>0</v>
      </c>
      <c r="G16" s="1138">
        <f t="shared" si="4"/>
        <v>214</v>
      </c>
      <c r="H16" s="1139">
        <f t="shared" si="0"/>
        <v>0.5</v>
      </c>
      <c r="I16" s="1140"/>
      <c r="J16" s="1136">
        <v>0</v>
      </c>
      <c r="K16" s="1141">
        <f t="shared" si="1"/>
        <v>0</v>
      </c>
      <c r="L16" s="1141">
        <f t="shared" si="5"/>
        <v>0</v>
      </c>
      <c r="M16" s="1140"/>
      <c r="N16" s="1136">
        <v>0</v>
      </c>
      <c r="O16" s="1141">
        <f t="shared" si="6"/>
        <v>0</v>
      </c>
      <c r="P16" s="1141">
        <f t="shared" si="7"/>
        <v>0</v>
      </c>
      <c r="Q16" s="1141">
        <f t="shared" si="2"/>
        <v>0</v>
      </c>
      <c r="R16" s="1141">
        <f t="shared" si="8"/>
        <v>0</v>
      </c>
      <c r="S16" s="1140"/>
    </row>
    <row r="17" spans="2:19">
      <c r="B17" s="1131">
        <f t="shared" si="3"/>
        <v>5</v>
      </c>
      <c r="D17" s="1137" t="s">
        <v>213</v>
      </c>
      <c r="E17" s="1136">
        <v>30</v>
      </c>
      <c r="F17" s="1138">
        <v>0</v>
      </c>
      <c r="G17" s="1138">
        <f t="shared" si="4"/>
        <v>214</v>
      </c>
      <c r="H17" s="1139">
        <f t="shared" si="0"/>
        <v>0.5</v>
      </c>
      <c r="I17" s="1140"/>
      <c r="J17" s="1136">
        <v>0</v>
      </c>
      <c r="K17" s="1141">
        <f t="shared" si="1"/>
        <v>0</v>
      </c>
      <c r="L17" s="1141">
        <f t="shared" si="5"/>
        <v>0</v>
      </c>
      <c r="M17" s="1140"/>
      <c r="N17" s="1136">
        <v>0</v>
      </c>
      <c r="O17" s="1141">
        <f t="shared" si="6"/>
        <v>0</v>
      </c>
      <c r="P17" s="1141">
        <f t="shared" si="7"/>
        <v>0</v>
      </c>
      <c r="Q17" s="1141">
        <f t="shared" si="2"/>
        <v>0</v>
      </c>
      <c r="R17" s="1141">
        <f t="shared" si="8"/>
        <v>0</v>
      </c>
      <c r="S17" s="1140"/>
    </row>
    <row r="18" spans="2:19">
      <c r="B18" s="1131">
        <f t="shared" si="3"/>
        <v>6</v>
      </c>
      <c r="D18" s="1137" t="s">
        <v>214</v>
      </c>
      <c r="E18" s="1136">
        <v>31</v>
      </c>
      <c r="F18" s="1138">
        <v>0</v>
      </c>
      <c r="G18" s="1138">
        <f t="shared" si="4"/>
        <v>214</v>
      </c>
      <c r="H18" s="1139">
        <f t="shared" si="0"/>
        <v>0.5</v>
      </c>
      <c r="I18" s="1140"/>
      <c r="J18" s="1136">
        <v>0</v>
      </c>
      <c r="K18" s="1141">
        <f t="shared" si="1"/>
        <v>0</v>
      </c>
      <c r="L18" s="1141">
        <f t="shared" si="5"/>
        <v>0</v>
      </c>
      <c r="M18" s="1140"/>
      <c r="N18" s="1136">
        <v>0</v>
      </c>
      <c r="O18" s="1141">
        <f t="shared" si="6"/>
        <v>0</v>
      </c>
      <c r="P18" s="1141">
        <f t="shared" si="7"/>
        <v>0</v>
      </c>
      <c r="Q18" s="1141">
        <f t="shared" si="2"/>
        <v>0</v>
      </c>
      <c r="R18" s="1141">
        <f t="shared" si="8"/>
        <v>0</v>
      </c>
      <c r="S18" s="1140"/>
    </row>
    <row r="19" spans="2:19">
      <c r="B19" s="1131">
        <f t="shared" si="3"/>
        <v>7</v>
      </c>
      <c r="D19" s="1137" t="s">
        <v>215</v>
      </c>
      <c r="E19" s="1136">
        <v>30</v>
      </c>
      <c r="F19" s="1138">
        <f t="shared" ref="F19:F24" si="9">E20+F20</f>
        <v>185</v>
      </c>
      <c r="G19" s="1138">
        <f t="shared" si="4"/>
        <v>214</v>
      </c>
      <c r="H19" s="1139">
        <f t="shared" si="0"/>
        <v>0.86448598130841126</v>
      </c>
      <c r="I19" s="1140"/>
      <c r="J19" s="1136">
        <v>0</v>
      </c>
      <c r="K19" s="1141">
        <f t="shared" si="1"/>
        <v>0</v>
      </c>
      <c r="L19" s="1141">
        <f t="shared" si="5"/>
        <v>0</v>
      </c>
      <c r="M19" s="1140"/>
      <c r="N19" s="1136">
        <v>0</v>
      </c>
      <c r="O19" s="1141">
        <f t="shared" si="6"/>
        <v>0</v>
      </c>
      <c r="P19" s="1141">
        <f t="shared" si="7"/>
        <v>0</v>
      </c>
      <c r="Q19" s="1141">
        <f t="shared" si="2"/>
        <v>0</v>
      </c>
      <c r="R19" s="1141">
        <f t="shared" si="8"/>
        <v>0</v>
      </c>
      <c r="S19" s="1140"/>
    </row>
    <row r="20" spans="2:19">
      <c r="B20" s="1131">
        <f t="shared" si="3"/>
        <v>8</v>
      </c>
      <c r="D20" s="1137" t="s">
        <v>637</v>
      </c>
      <c r="E20" s="1136">
        <v>31</v>
      </c>
      <c r="F20" s="1138">
        <f t="shared" si="9"/>
        <v>154</v>
      </c>
      <c r="G20" s="1138">
        <f t="shared" si="4"/>
        <v>214</v>
      </c>
      <c r="H20" s="1139">
        <f t="shared" si="0"/>
        <v>0.71962616822429903</v>
      </c>
      <c r="I20" s="1140"/>
      <c r="J20" s="1136">
        <v>0</v>
      </c>
      <c r="K20" s="1141">
        <f t="shared" si="1"/>
        <v>0</v>
      </c>
      <c r="L20" s="1141">
        <f t="shared" si="5"/>
        <v>0</v>
      </c>
      <c r="M20" s="1140"/>
      <c r="N20" s="1136">
        <v>0</v>
      </c>
      <c r="O20" s="1141">
        <f t="shared" si="6"/>
        <v>0</v>
      </c>
      <c r="P20" s="1141">
        <f t="shared" si="7"/>
        <v>0</v>
      </c>
      <c r="Q20" s="1141">
        <f t="shared" si="2"/>
        <v>0</v>
      </c>
      <c r="R20" s="1141">
        <f t="shared" si="8"/>
        <v>0</v>
      </c>
      <c r="S20" s="1140"/>
    </row>
    <row r="21" spans="2:19">
      <c r="B21" s="1131">
        <f t="shared" si="3"/>
        <v>9</v>
      </c>
      <c r="D21" s="1137" t="s">
        <v>663</v>
      </c>
      <c r="E21" s="1136">
        <v>31</v>
      </c>
      <c r="F21" s="1138">
        <f t="shared" si="9"/>
        <v>123</v>
      </c>
      <c r="G21" s="1138">
        <f t="shared" si="4"/>
        <v>214</v>
      </c>
      <c r="H21" s="1139">
        <f t="shared" si="0"/>
        <v>0.57476635514018692</v>
      </c>
      <c r="I21" s="1140"/>
      <c r="J21" s="1136">
        <v>0</v>
      </c>
      <c r="K21" s="1141">
        <f t="shared" si="1"/>
        <v>0</v>
      </c>
      <c r="L21" s="1141">
        <f t="shared" si="5"/>
        <v>0</v>
      </c>
      <c r="M21" s="1140"/>
      <c r="N21" s="1136">
        <v>0</v>
      </c>
      <c r="O21" s="1141">
        <f t="shared" si="6"/>
        <v>0</v>
      </c>
      <c r="P21" s="1141">
        <f t="shared" si="7"/>
        <v>0</v>
      </c>
      <c r="Q21" s="1141">
        <f t="shared" si="2"/>
        <v>0</v>
      </c>
      <c r="R21" s="1141">
        <f t="shared" si="8"/>
        <v>0</v>
      </c>
      <c r="S21" s="1140"/>
    </row>
    <row r="22" spans="2:19">
      <c r="B22" s="1131">
        <f t="shared" si="3"/>
        <v>10</v>
      </c>
      <c r="D22" s="1137" t="s">
        <v>639</v>
      </c>
      <c r="E22" s="1136">
        <v>30</v>
      </c>
      <c r="F22" s="1138">
        <f t="shared" si="9"/>
        <v>93</v>
      </c>
      <c r="G22" s="1138">
        <f t="shared" si="4"/>
        <v>214</v>
      </c>
      <c r="H22" s="1139">
        <f t="shared" si="0"/>
        <v>0.43457943925233644</v>
      </c>
      <c r="I22" s="1140"/>
      <c r="J22" s="1136">
        <v>0</v>
      </c>
      <c r="K22" s="1141">
        <f t="shared" si="1"/>
        <v>0</v>
      </c>
      <c r="L22" s="1141">
        <f t="shared" si="5"/>
        <v>0</v>
      </c>
      <c r="M22" s="1140"/>
      <c r="N22" s="1136">
        <v>0</v>
      </c>
      <c r="O22" s="1141">
        <f t="shared" si="6"/>
        <v>0</v>
      </c>
      <c r="P22" s="1141">
        <f t="shared" si="7"/>
        <v>0</v>
      </c>
      <c r="Q22" s="1141">
        <f t="shared" si="2"/>
        <v>0</v>
      </c>
      <c r="R22" s="1141">
        <f t="shared" si="8"/>
        <v>0</v>
      </c>
      <c r="S22" s="1140"/>
    </row>
    <row r="23" spans="2:19">
      <c r="B23" s="1131">
        <f t="shared" si="3"/>
        <v>11</v>
      </c>
      <c r="D23" s="1137" t="s">
        <v>640</v>
      </c>
      <c r="E23" s="1136">
        <v>31</v>
      </c>
      <c r="F23" s="1138">
        <f t="shared" si="9"/>
        <v>62</v>
      </c>
      <c r="G23" s="1138">
        <f t="shared" si="4"/>
        <v>214</v>
      </c>
      <c r="H23" s="1139">
        <f t="shared" si="0"/>
        <v>0.28971962616822428</v>
      </c>
      <c r="I23" s="1140"/>
      <c r="J23" s="1136">
        <v>0</v>
      </c>
      <c r="K23" s="1141">
        <f t="shared" si="1"/>
        <v>0</v>
      </c>
      <c r="L23" s="1141">
        <f t="shared" si="5"/>
        <v>0</v>
      </c>
      <c r="M23" s="1140"/>
      <c r="N23" s="1136">
        <v>0</v>
      </c>
      <c r="O23" s="1141">
        <f t="shared" si="6"/>
        <v>0</v>
      </c>
      <c r="P23" s="1141">
        <f t="shared" si="7"/>
        <v>0</v>
      </c>
      <c r="Q23" s="1141">
        <f t="shared" si="2"/>
        <v>0</v>
      </c>
      <c r="R23" s="1141">
        <f t="shared" si="8"/>
        <v>0</v>
      </c>
      <c r="S23" s="1140"/>
    </row>
    <row r="24" spans="2:19">
      <c r="B24" s="1131">
        <f t="shared" si="3"/>
        <v>12</v>
      </c>
      <c r="D24" s="1137" t="s">
        <v>641</v>
      </c>
      <c r="E24" s="1136">
        <v>30</v>
      </c>
      <c r="F24" s="1138">
        <f t="shared" si="9"/>
        <v>32</v>
      </c>
      <c r="G24" s="1138">
        <f t="shared" si="4"/>
        <v>214</v>
      </c>
      <c r="H24" s="1139">
        <f t="shared" si="0"/>
        <v>0.14953271028037382</v>
      </c>
      <c r="I24" s="1140"/>
      <c r="J24" s="1136">
        <v>0</v>
      </c>
      <c r="K24" s="1141">
        <f t="shared" si="1"/>
        <v>0</v>
      </c>
      <c r="L24" s="1141">
        <f t="shared" si="5"/>
        <v>0</v>
      </c>
      <c r="M24" s="1140"/>
      <c r="N24" s="1136">
        <v>0</v>
      </c>
      <c r="O24" s="1141">
        <f t="shared" si="6"/>
        <v>0</v>
      </c>
      <c r="P24" s="1141">
        <f t="shared" si="7"/>
        <v>0</v>
      </c>
      <c r="Q24" s="1141">
        <f t="shared" si="2"/>
        <v>0</v>
      </c>
      <c r="R24" s="1141">
        <f t="shared" si="8"/>
        <v>0</v>
      </c>
      <c r="S24" s="1140"/>
    </row>
    <row r="25" spans="2:19">
      <c r="B25" s="1131">
        <f t="shared" si="3"/>
        <v>13</v>
      </c>
      <c r="D25" s="1142" t="s">
        <v>895</v>
      </c>
      <c r="E25" s="1136">
        <v>31</v>
      </c>
      <c r="F25" s="1143">
        <v>1</v>
      </c>
      <c r="G25" s="1138">
        <f t="shared" si="4"/>
        <v>214</v>
      </c>
      <c r="H25" s="1139">
        <f t="shared" si="0"/>
        <v>4.6728971962616819E-3</v>
      </c>
      <c r="I25" s="1140"/>
      <c r="J25" s="1136">
        <v>0</v>
      </c>
      <c r="K25" s="1141">
        <f t="shared" si="1"/>
        <v>0</v>
      </c>
      <c r="L25" s="1141">
        <f t="shared" si="5"/>
        <v>0</v>
      </c>
      <c r="M25" s="1140"/>
      <c r="N25" s="1136">
        <v>0</v>
      </c>
      <c r="O25" s="1141">
        <f t="shared" si="6"/>
        <v>0</v>
      </c>
      <c r="P25" s="1141">
        <f t="shared" si="7"/>
        <v>0</v>
      </c>
      <c r="Q25" s="1141">
        <f t="shared" si="2"/>
        <v>0</v>
      </c>
      <c r="R25" s="1141">
        <f t="shared" si="8"/>
        <v>0</v>
      </c>
      <c r="S25" s="1140"/>
    </row>
    <row r="26" spans="2:19">
      <c r="B26" s="1131">
        <f t="shared" si="3"/>
        <v>14</v>
      </c>
      <c r="D26" s="1144" t="str">
        <f>"Total (Sum of Lines "&amp;B14&amp;" - "&amp;B25&amp;")"</f>
        <v>Total (Sum of Lines 2 - 13)</v>
      </c>
      <c r="E26" s="1145">
        <f>SUM(E14:E25)</f>
        <v>365</v>
      </c>
      <c r="F26" s="1146"/>
      <c r="G26" s="1146"/>
      <c r="H26" s="1147"/>
      <c r="I26" s="1148"/>
      <c r="J26" s="1145">
        <f>SUM(J14:J25)</f>
        <v>0</v>
      </c>
      <c r="K26" s="1145">
        <f>SUM(K14:K25)</f>
        <v>0</v>
      </c>
      <c r="L26" s="1149"/>
      <c r="M26" s="1148"/>
      <c r="N26" s="1145">
        <f>SUM(N14:N25)</f>
        <v>0</v>
      </c>
      <c r="O26" s="1145">
        <f>SUM(O14:O25)</f>
        <v>0</v>
      </c>
      <c r="P26" s="1145">
        <f>SUM(P14:P25)</f>
        <v>0</v>
      </c>
      <c r="Q26" s="1145">
        <f>SUM(Q14:Q25)</f>
        <v>0</v>
      </c>
      <c r="R26" s="1149"/>
      <c r="S26" s="1148"/>
    </row>
    <row r="27" spans="2:19">
      <c r="D27" s="1150"/>
      <c r="E27" s="1150"/>
      <c r="F27" s="1150"/>
      <c r="G27" s="1150"/>
      <c r="H27" s="1151"/>
      <c r="I27" s="1151"/>
      <c r="K27" s="1152"/>
      <c r="L27" s="1151"/>
      <c r="M27" s="1151"/>
      <c r="O27" s="1152"/>
      <c r="P27" s="1152"/>
      <c r="Q27" s="1152"/>
      <c r="R27" s="1151"/>
      <c r="S27" s="1151"/>
    </row>
    <row r="28" spans="2:19">
      <c r="B28" s="1131">
        <f>B26+1</f>
        <v>15</v>
      </c>
      <c r="D28" s="945" t="s">
        <v>1070</v>
      </c>
      <c r="I28" s="1151"/>
      <c r="J28" s="1136" t="str">
        <f>$J$12</f>
        <v>12/31/2021 (Actual)</v>
      </c>
      <c r="L28" s="1136">
        <f>'1C - ADIT BOY'!$E$11</f>
        <v>2285928.1735482141</v>
      </c>
      <c r="M28" s="1153"/>
      <c r="N28" s="1136" t="str">
        <f>$N$12</f>
        <v>12/31/2021 (Actual)</v>
      </c>
      <c r="R28" s="1136">
        <f>'1C - ADIT BOY'!$E$11</f>
        <v>2285928.1735482141</v>
      </c>
    </row>
    <row r="29" spans="2:19">
      <c r="B29" s="1131">
        <f>B28+1</f>
        <v>16</v>
      </c>
      <c r="D29" s="945" t="s">
        <v>1074</v>
      </c>
      <c r="I29" s="1151"/>
      <c r="J29" s="1154" t="s">
        <v>757</v>
      </c>
      <c r="L29" s="1155">
        <v>0</v>
      </c>
      <c r="M29" s="1156"/>
      <c r="N29" s="1154" t="s">
        <v>757</v>
      </c>
      <c r="R29" s="1155">
        <v>0</v>
      </c>
    </row>
    <row r="30" spans="2:19">
      <c r="B30" s="1131">
        <f>B29+1</f>
        <v>17</v>
      </c>
      <c r="D30" s="945" t="s">
        <v>1071</v>
      </c>
      <c r="I30" s="1151"/>
      <c r="J30" s="1144" t="str">
        <f>"(Col. "&amp;L9&amp;", Line "&amp;B28&amp;" + Line "&amp;B29&amp;")"</f>
        <v>(Col. (H), Line 15 + Line 16)</v>
      </c>
      <c r="L30" s="1157">
        <f>L28+L29</f>
        <v>2285928.1735482141</v>
      </c>
      <c r="M30" s="1151"/>
      <c r="N30" s="1144" t="str">
        <f>"(Col. "&amp;R9&amp;", Line "&amp;B28&amp;" + Line "&amp;B29&amp;")"</f>
        <v>(Col. (M), Line 15 + Line 16)</v>
      </c>
      <c r="R30" s="1157">
        <f>R28+R29</f>
        <v>2285928.1735482141</v>
      </c>
    </row>
    <row r="31" spans="2:19">
      <c r="I31" s="1151"/>
      <c r="L31" s="1157"/>
      <c r="M31" s="1151"/>
      <c r="R31" s="1157"/>
    </row>
    <row r="32" spans="2:19">
      <c r="B32" s="1131">
        <f>B30+1</f>
        <v>18</v>
      </c>
      <c r="D32" s="945" t="s">
        <v>1072</v>
      </c>
      <c r="I32" s="1151"/>
      <c r="J32" s="1136" t="s">
        <v>1973</v>
      </c>
      <c r="L32" s="1136">
        <v>2328688.079741559</v>
      </c>
      <c r="M32" s="1153"/>
      <c r="N32" s="1136" t="s">
        <v>2147</v>
      </c>
      <c r="R32" s="1136">
        <f>'1B - ADIT EOY'!$E$11</f>
        <v>2453363.8151536994</v>
      </c>
    </row>
    <row r="33" spans="2:19">
      <c r="B33" s="1131">
        <f>B32+1</f>
        <v>19</v>
      </c>
      <c r="D33" s="945" t="s">
        <v>1075</v>
      </c>
      <c r="I33" s="1151"/>
      <c r="J33" s="1154" t="s">
        <v>757</v>
      </c>
      <c r="L33" s="1155">
        <v>0</v>
      </c>
      <c r="M33" s="1151"/>
      <c r="N33" s="1154" t="s">
        <v>757</v>
      </c>
      <c r="R33" s="1155">
        <v>0</v>
      </c>
    </row>
    <row r="34" spans="2:19">
      <c r="B34" s="1131">
        <f>B33+1</f>
        <v>20</v>
      </c>
      <c r="D34" s="945" t="s">
        <v>1076</v>
      </c>
      <c r="G34" s="1144"/>
      <c r="I34" s="1151"/>
      <c r="J34" s="1144" t="str">
        <f>"(Col. "&amp;L9&amp;", Line "&amp;B32&amp;" + Line "&amp;B33&amp;")"</f>
        <v>(Col. (H), Line 18 + Line 19)</v>
      </c>
      <c r="L34" s="1157">
        <f>L32+L33</f>
        <v>2328688.079741559</v>
      </c>
      <c r="M34" s="1151"/>
      <c r="N34" s="1144" t="str">
        <f>"(Col. "&amp;R9&amp;", Line "&amp;B32&amp;" + Line "&amp;B33&amp;")"</f>
        <v>(Col. (M), Line 18 + Line 19)</v>
      </c>
      <c r="R34" s="1157">
        <f>R32+R33</f>
        <v>2453363.8151536994</v>
      </c>
    </row>
    <row r="35" spans="2:19">
      <c r="I35" s="1151"/>
      <c r="L35" s="1157"/>
      <c r="M35" s="1151"/>
      <c r="R35" s="1157"/>
    </row>
    <row r="36" spans="2:19">
      <c r="B36" s="1131">
        <f>B34+1</f>
        <v>21</v>
      </c>
      <c r="D36" s="945" t="s">
        <v>1155</v>
      </c>
      <c r="I36" s="1151"/>
      <c r="J36" s="1144" t="str">
        <f>"([Col. "&amp;L9&amp;", Line "&amp;B30&amp;" + Line "&amp;B34&amp;"] /2)"</f>
        <v>([Col. (H), Line 17 + Line 20] /2)</v>
      </c>
      <c r="L36" s="1141">
        <f>(L30+L34)/2</f>
        <v>2307308.1266448866</v>
      </c>
      <c r="M36" s="1151"/>
      <c r="N36" s="1144" t="str">
        <f>"([Col. "&amp;R9&amp;", Line "&amp;B30&amp;" + Line "&amp;B34&amp;"] /2)"</f>
        <v>([Col. (M), Line 17 + Line 20] /2)</v>
      </c>
      <c r="R36" s="1141">
        <f>(R30+R34)/2</f>
        <v>2369645.9943509568</v>
      </c>
    </row>
    <row r="37" spans="2:19">
      <c r="B37" s="1131">
        <f>B36+1</f>
        <v>22</v>
      </c>
      <c r="D37" s="1150" t="s">
        <v>1154</v>
      </c>
      <c r="E37" s="1150"/>
      <c r="F37" s="1150"/>
      <c r="G37" s="1150"/>
      <c r="H37" s="1151"/>
      <c r="I37" s="1151"/>
      <c r="J37" s="1144" t="str">
        <f>"(Col. "&amp;L9&amp;", Line "&amp;B25&amp;" )"</f>
        <v>(Col. (H), Line 13 )</v>
      </c>
      <c r="K37" s="1152"/>
      <c r="L37" s="1141">
        <f>L25</f>
        <v>0</v>
      </c>
      <c r="M37" s="1151"/>
      <c r="N37" s="1144" t="str">
        <f>"(Col. "&amp;R9&amp;", Line "&amp;B25&amp;" )"</f>
        <v>(Col. (M), Line 13 )</v>
      </c>
      <c r="R37" s="1141">
        <f>R25</f>
        <v>0</v>
      </c>
    </row>
    <row r="38" spans="2:19" ht="13.5" thickBot="1">
      <c r="B38" s="1131">
        <f>B37+1</f>
        <v>23</v>
      </c>
      <c r="D38" s="1158" t="s">
        <v>1584</v>
      </c>
      <c r="E38" s="1150"/>
      <c r="F38" s="1150"/>
      <c r="G38" s="1150"/>
      <c r="H38" s="1151"/>
      <c r="I38" s="1151"/>
      <c r="J38" s="1144" t="str">
        <f>"(Col. "&amp;L9&amp;", Line "&amp;B36&amp;" + Line "&amp;B37&amp;")"</f>
        <v>(Col. (H), Line 21 + Line 22)</v>
      </c>
      <c r="K38" s="1152"/>
      <c r="L38" s="1159">
        <f>L36+L37</f>
        <v>2307308.1266448866</v>
      </c>
      <c r="M38" s="1151"/>
      <c r="N38" s="1144" t="str">
        <f>"(Col. "&amp;R9&amp;", Line "&amp;B36&amp;" + Line "&amp;B37&amp;")"</f>
        <v>(Col. (M), Line 21 + Line 22)</v>
      </c>
      <c r="R38" s="1159">
        <f>R36+R37</f>
        <v>2369645.9943509568</v>
      </c>
    </row>
    <row r="39" spans="2:19">
      <c r="I39" s="1151"/>
      <c r="L39" s="1141"/>
      <c r="M39" s="1151"/>
      <c r="R39" s="1141"/>
      <c r="S39" s="1151"/>
    </row>
    <row r="40" spans="2:19" ht="13">
      <c r="D40" s="1128" t="s">
        <v>1585</v>
      </c>
      <c r="J40" s="1160"/>
      <c r="K40" s="1161"/>
      <c r="L40" s="1161"/>
      <c r="N40" s="1161"/>
      <c r="O40" s="1161"/>
      <c r="P40" s="1161"/>
      <c r="Q40" s="1161"/>
      <c r="R40" s="1161"/>
    </row>
    <row r="41" spans="2:19" ht="13">
      <c r="D41" s="1832" t="s">
        <v>1065</v>
      </c>
      <c r="E41" s="1833"/>
      <c r="F41" s="1833"/>
      <c r="G41" s="1833"/>
      <c r="H41" s="1834"/>
      <c r="I41" s="1132"/>
      <c r="J41" s="1835" t="s">
        <v>1563</v>
      </c>
      <c r="K41" s="1836"/>
      <c r="L41" s="1837"/>
      <c r="M41" s="1132"/>
      <c r="N41" s="1835" t="s">
        <v>1564</v>
      </c>
      <c r="O41" s="1836"/>
      <c r="P41" s="1836"/>
      <c r="Q41" s="1836"/>
      <c r="R41" s="1837"/>
      <c r="S41" s="1132"/>
    </row>
    <row r="42" spans="2:19" ht="13">
      <c r="D42" s="1133" t="s">
        <v>216</v>
      </c>
      <c r="E42" s="1133" t="s">
        <v>217</v>
      </c>
      <c r="F42" s="1133" t="s">
        <v>1565</v>
      </c>
      <c r="G42" s="1133" t="s">
        <v>1566</v>
      </c>
      <c r="H42" s="1133" t="s">
        <v>1567</v>
      </c>
      <c r="I42" s="1132"/>
      <c r="J42" s="1133" t="s">
        <v>1568</v>
      </c>
      <c r="K42" s="1133" t="s">
        <v>1569</v>
      </c>
      <c r="L42" s="1133" t="s">
        <v>1570</v>
      </c>
      <c r="M42" s="1132"/>
      <c r="N42" s="1133" t="s">
        <v>1571</v>
      </c>
      <c r="O42" s="1133" t="s">
        <v>1572</v>
      </c>
      <c r="P42" s="1133" t="s">
        <v>1573</v>
      </c>
      <c r="Q42" s="1133" t="s">
        <v>1574</v>
      </c>
      <c r="R42" s="1133" t="s">
        <v>1575</v>
      </c>
      <c r="S42" s="1132"/>
    </row>
    <row r="43" spans="2:19" ht="50">
      <c r="B43" s="1134" t="s">
        <v>1576</v>
      </c>
      <c r="D43" s="1135" t="s">
        <v>211</v>
      </c>
      <c r="E43" s="1135" t="s">
        <v>1066</v>
      </c>
      <c r="F43" s="1135" t="s">
        <v>1067</v>
      </c>
      <c r="G43" s="1135" t="s">
        <v>1068</v>
      </c>
      <c r="H43" s="1135" t="s">
        <v>1577</v>
      </c>
      <c r="I43" s="1361"/>
      <c r="J43" s="1135" t="s">
        <v>1069</v>
      </c>
      <c r="K43" s="1135" t="s">
        <v>1578</v>
      </c>
      <c r="L43" s="1135" t="s">
        <v>1579</v>
      </c>
      <c r="M43" s="1361"/>
      <c r="N43" s="1135" t="s">
        <v>1158</v>
      </c>
      <c r="O43" s="1135" t="s">
        <v>1580</v>
      </c>
      <c r="P43" s="1135" t="s">
        <v>1581</v>
      </c>
      <c r="Q43" s="1135" t="s">
        <v>1582</v>
      </c>
      <c r="R43" s="1135" t="s">
        <v>1583</v>
      </c>
      <c r="S43" s="1361"/>
    </row>
    <row r="44" spans="2:19">
      <c r="E44" s="1361"/>
      <c r="F44" s="1361"/>
      <c r="G44" s="1361"/>
      <c r="H44" s="1361"/>
      <c r="I44" s="1361"/>
      <c r="J44" s="1361"/>
      <c r="K44" s="1361"/>
      <c r="L44" s="1361"/>
      <c r="M44" s="1361"/>
      <c r="N44" s="1361"/>
      <c r="O44" s="1361"/>
      <c r="P44" s="1361"/>
      <c r="Q44" s="1361"/>
      <c r="R44" s="1361"/>
      <c r="S44" s="1361"/>
    </row>
    <row r="45" spans="2:19">
      <c r="B45" s="1131">
        <f>B38+1</f>
        <v>24</v>
      </c>
      <c r="D45" s="945" t="s">
        <v>1157</v>
      </c>
      <c r="E45" s="1361"/>
      <c r="F45" s="1361"/>
      <c r="G45" s="1361"/>
      <c r="H45" s="1361"/>
      <c r="I45" s="1361"/>
      <c r="J45" s="1136" t="str">
        <f>$J$12</f>
        <v>12/31/2021 (Actual)</v>
      </c>
      <c r="K45" s="1361"/>
      <c r="L45" s="1136">
        <v>0</v>
      </c>
      <c r="M45" s="1361"/>
      <c r="N45" s="1136" t="str">
        <f>$N$12</f>
        <v>12/31/2021 (Actual)</v>
      </c>
      <c r="O45" s="1361"/>
      <c r="P45" s="1361"/>
      <c r="Q45" s="1361"/>
      <c r="R45" s="1136">
        <v>0</v>
      </c>
      <c r="S45" s="1361"/>
    </row>
    <row r="46" spans="2:19">
      <c r="E46" s="1361"/>
      <c r="F46" s="1361"/>
      <c r="G46" s="1361"/>
      <c r="H46" s="1361"/>
      <c r="I46" s="1361"/>
      <c r="J46" s="1361"/>
      <c r="K46" s="1361"/>
      <c r="L46" s="1361"/>
      <c r="M46" s="1361"/>
      <c r="N46" s="1361"/>
      <c r="O46" s="1361"/>
      <c r="P46" s="1361"/>
      <c r="Q46" s="1361"/>
      <c r="R46" s="1361"/>
      <c r="S46" s="1361"/>
    </row>
    <row r="47" spans="2:19">
      <c r="B47" s="1131">
        <f>B45+1</f>
        <v>25</v>
      </c>
      <c r="D47" s="1137" t="s">
        <v>634</v>
      </c>
      <c r="E47" s="1136">
        <v>31</v>
      </c>
      <c r="F47" s="1138">
        <v>0</v>
      </c>
      <c r="G47" s="1138">
        <v>214</v>
      </c>
      <c r="H47" s="1139">
        <f t="shared" ref="H47:H58" si="10">IF(F47=0,0.5,F47/G47)</f>
        <v>0.5</v>
      </c>
      <c r="I47" s="1140"/>
      <c r="J47" s="1136"/>
      <c r="K47" s="1141">
        <f t="shared" ref="K47" si="11">+J47*H47</f>
        <v>0</v>
      </c>
      <c r="L47" s="1141">
        <f>+K47+L45</f>
        <v>0</v>
      </c>
      <c r="M47" s="1140"/>
      <c r="N47" s="1136">
        <v>0</v>
      </c>
      <c r="O47" s="1141">
        <f>IF($D$177="True-Up Adjustment",N47-J47,0)</f>
        <v>0</v>
      </c>
      <c r="P47" s="1141">
        <f>IF($D$177="True-Up Adjustment",IF(AND(J47&gt;=0,N47&gt;=0),IF(O47&gt;=0,K47+O47,N47/J47*K47),IF(AND(J47&lt;0,N47&lt;0),IF(O47&lt;0,K47+O47,N47/J47*K47),0)),0)</f>
        <v>0</v>
      </c>
      <c r="Q47" s="1141">
        <f t="shared" ref="Q47:Q58" si="12">IF(AND(J47&gt;=0,N47&lt;0),N47,IF(AND(J47&lt;0,N47&gt;=0),N47,0))</f>
        <v>0</v>
      </c>
      <c r="R47" s="1141">
        <f>R45+P47+Q47</f>
        <v>0</v>
      </c>
      <c r="S47" s="1140"/>
    </row>
    <row r="48" spans="2:19">
      <c r="B48" s="1131">
        <f t="shared" ref="B48:B59" si="13">+B47+1</f>
        <v>26</v>
      </c>
      <c r="D48" s="1137" t="s">
        <v>635</v>
      </c>
      <c r="E48" s="1136">
        <v>28</v>
      </c>
      <c r="F48" s="1138">
        <v>0</v>
      </c>
      <c r="G48" s="1138">
        <f t="shared" ref="G48:G58" si="14">G47</f>
        <v>214</v>
      </c>
      <c r="H48" s="1139">
        <f t="shared" si="10"/>
        <v>0.5</v>
      </c>
      <c r="I48" s="1140"/>
      <c r="J48" s="1136"/>
      <c r="K48" s="1141">
        <f>+J48*H48</f>
        <v>0</v>
      </c>
      <c r="L48" s="1141">
        <f t="shared" ref="L48:L58" si="15">+K48+L47</f>
        <v>0</v>
      </c>
      <c r="M48" s="1140"/>
      <c r="N48" s="1136">
        <v>0</v>
      </c>
      <c r="O48" s="1141">
        <f t="shared" ref="O48:O58" si="16">IF($D$177="True-Up Adjustment",N48-J48,0)</f>
        <v>0</v>
      </c>
      <c r="P48" s="1141">
        <f t="shared" ref="P48:P58" si="17">IF($D$177="True-Up Adjustment",IF(AND(J48&gt;=0,N48&gt;=0),IF(O48&gt;=0,K48+O48,N48/J48*K48),IF(AND(J48&lt;0,N48&lt;0),IF(O48&lt;0,K48+O48,N48/J48*K48),0)),0)</f>
        <v>0</v>
      </c>
      <c r="Q48" s="1141">
        <f t="shared" si="12"/>
        <v>0</v>
      </c>
      <c r="R48" s="1141">
        <f t="shared" ref="R48:R58" si="18">R47+P48+Q48</f>
        <v>0</v>
      </c>
      <c r="S48" s="1140"/>
    </row>
    <row r="49" spans="2:19">
      <c r="B49" s="1131">
        <f t="shared" si="13"/>
        <v>27</v>
      </c>
      <c r="D49" s="1137" t="s">
        <v>662</v>
      </c>
      <c r="E49" s="1136">
        <v>31</v>
      </c>
      <c r="F49" s="1138">
        <v>0</v>
      </c>
      <c r="G49" s="1138">
        <f t="shared" si="14"/>
        <v>214</v>
      </c>
      <c r="H49" s="1139">
        <f t="shared" si="10"/>
        <v>0.5</v>
      </c>
      <c r="I49" s="1140"/>
      <c r="J49" s="1136"/>
      <c r="K49" s="1141">
        <f t="shared" ref="K49:K58" si="19">+J49*H49</f>
        <v>0</v>
      </c>
      <c r="L49" s="1141">
        <f t="shared" si="15"/>
        <v>0</v>
      </c>
      <c r="M49" s="1140"/>
      <c r="N49" s="1136">
        <v>0</v>
      </c>
      <c r="O49" s="1141">
        <f t="shared" si="16"/>
        <v>0</v>
      </c>
      <c r="P49" s="1141">
        <f t="shared" si="17"/>
        <v>0</v>
      </c>
      <c r="Q49" s="1141">
        <f t="shared" si="12"/>
        <v>0</v>
      </c>
      <c r="R49" s="1141">
        <f t="shared" si="18"/>
        <v>0</v>
      </c>
      <c r="S49" s="1140"/>
    </row>
    <row r="50" spans="2:19">
      <c r="B50" s="1131">
        <f t="shared" si="13"/>
        <v>28</v>
      </c>
      <c r="D50" s="1137" t="s">
        <v>213</v>
      </c>
      <c r="E50" s="1136">
        <v>30</v>
      </c>
      <c r="F50" s="1138">
        <v>0</v>
      </c>
      <c r="G50" s="1138">
        <f t="shared" si="14"/>
        <v>214</v>
      </c>
      <c r="H50" s="1139">
        <f t="shared" si="10"/>
        <v>0.5</v>
      </c>
      <c r="I50" s="1140"/>
      <c r="J50" s="1136"/>
      <c r="K50" s="1141">
        <f t="shared" si="19"/>
        <v>0</v>
      </c>
      <c r="L50" s="1141">
        <f t="shared" si="15"/>
        <v>0</v>
      </c>
      <c r="M50" s="1140"/>
      <c r="N50" s="1136">
        <v>0</v>
      </c>
      <c r="O50" s="1141">
        <f t="shared" si="16"/>
        <v>0</v>
      </c>
      <c r="P50" s="1141">
        <f t="shared" si="17"/>
        <v>0</v>
      </c>
      <c r="Q50" s="1141">
        <f t="shared" si="12"/>
        <v>0</v>
      </c>
      <c r="R50" s="1141">
        <f t="shared" si="18"/>
        <v>0</v>
      </c>
      <c r="S50" s="1140"/>
    </row>
    <row r="51" spans="2:19">
      <c r="B51" s="1131">
        <f t="shared" si="13"/>
        <v>29</v>
      </c>
      <c r="D51" s="1137" t="s">
        <v>214</v>
      </c>
      <c r="E51" s="1136">
        <v>31</v>
      </c>
      <c r="F51" s="1138">
        <v>0</v>
      </c>
      <c r="G51" s="1138">
        <f t="shared" si="14"/>
        <v>214</v>
      </c>
      <c r="H51" s="1139">
        <f t="shared" si="10"/>
        <v>0.5</v>
      </c>
      <c r="I51" s="1140"/>
      <c r="J51" s="1136"/>
      <c r="K51" s="1141">
        <f t="shared" si="19"/>
        <v>0</v>
      </c>
      <c r="L51" s="1141">
        <f t="shared" si="15"/>
        <v>0</v>
      </c>
      <c r="M51" s="1140"/>
      <c r="N51" s="1136">
        <v>0</v>
      </c>
      <c r="O51" s="1141">
        <f t="shared" si="16"/>
        <v>0</v>
      </c>
      <c r="P51" s="1141">
        <f t="shared" si="17"/>
        <v>0</v>
      </c>
      <c r="Q51" s="1141">
        <f t="shared" si="12"/>
        <v>0</v>
      </c>
      <c r="R51" s="1141">
        <f t="shared" si="18"/>
        <v>0</v>
      </c>
      <c r="S51" s="1140"/>
    </row>
    <row r="52" spans="2:19">
      <c r="B52" s="1131">
        <f t="shared" si="13"/>
        <v>30</v>
      </c>
      <c r="D52" s="1137" t="s">
        <v>215</v>
      </c>
      <c r="E52" s="1136">
        <v>30</v>
      </c>
      <c r="F52" s="1138">
        <f t="shared" ref="F52:F57" si="20">E53+F53</f>
        <v>185</v>
      </c>
      <c r="G52" s="1138">
        <f t="shared" si="14"/>
        <v>214</v>
      </c>
      <c r="H52" s="1139">
        <f t="shared" si="10"/>
        <v>0.86448598130841126</v>
      </c>
      <c r="I52" s="1140"/>
      <c r="J52" s="1136"/>
      <c r="K52" s="1141">
        <f t="shared" si="19"/>
        <v>0</v>
      </c>
      <c r="L52" s="1141">
        <f t="shared" si="15"/>
        <v>0</v>
      </c>
      <c r="M52" s="1140"/>
      <c r="N52" s="1136">
        <v>0</v>
      </c>
      <c r="O52" s="1141">
        <f t="shared" si="16"/>
        <v>0</v>
      </c>
      <c r="P52" s="1141">
        <f t="shared" si="17"/>
        <v>0</v>
      </c>
      <c r="Q52" s="1141">
        <f t="shared" si="12"/>
        <v>0</v>
      </c>
      <c r="R52" s="1141">
        <f t="shared" si="18"/>
        <v>0</v>
      </c>
      <c r="S52" s="1140"/>
    </row>
    <row r="53" spans="2:19">
      <c r="B53" s="1131">
        <f t="shared" si="13"/>
        <v>31</v>
      </c>
      <c r="D53" s="1137" t="s">
        <v>637</v>
      </c>
      <c r="E53" s="1136">
        <v>31</v>
      </c>
      <c r="F53" s="1138">
        <f t="shared" si="20"/>
        <v>154</v>
      </c>
      <c r="G53" s="1138">
        <f t="shared" si="14"/>
        <v>214</v>
      </c>
      <c r="H53" s="1139">
        <f t="shared" si="10"/>
        <v>0.71962616822429903</v>
      </c>
      <c r="I53" s="1140"/>
      <c r="J53" s="1136"/>
      <c r="K53" s="1141">
        <f t="shared" si="19"/>
        <v>0</v>
      </c>
      <c r="L53" s="1141">
        <f t="shared" si="15"/>
        <v>0</v>
      </c>
      <c r="M53" s="1140"/>
      <c r="N53" s="1136">
        <v>0</v>
      </c>
      <c r="O53" s="1141">
        <f t="shared" si="16"/>
        <v>0</v>
      </c>
      <c r="P53" s="1141">
        <f t="shared" si="17"/>
        <v>0</v>
      </c>
      <c r="Q53" s="1141">
        <f t="shared" si="12"/>
        <v>0</v>
      </c>
      <c r="R53" s="1141">
        <f t="shared" si="18"/>
        <v>0</v>
      </c>
      <c r="S53" s="1140"/>
    </row>
    <row r="54" spans="2:19">
      <c r="B54" s="1131">
        <f t="shared" si="13"/>
        <v>32</v>
      </c>
      <c r="D54" s="1137" t="s">
        <v>663</v>
      </c>
      <c r="E54" s="1136">
        <v>31</v>
      </c>
      <c r="F54" s="1138">
        <f t="shared" si="20"/>
        <v>123</v>
      </c>
      <c r="G54" s="1138">
        <f t="shared" si="14"/>
        <v>214</v>
      </c>
      <c r="H54" s="1139">
        <f t="shared" si="10"/>
        <v>0.57476635514018692</v>
      </c>
      <c r="I54" s="1140"/>
      <c r="J54" s="1136"/>
      <c r="K54" s="1141">
        <f t="shared" si="19"/>
        <v>0</v>
      </c>
      <c r="L54" s="1141">
        <f t="shared" si="15"/>
        <v>0</v>
      </c>
      <c r="M54" s="1140"/>
      <c r="N54" s="1136">
        <v>0</v>
      </c>
      <c r="O54" s="1141">
        <f t="shared" si="16"/>
        <v>0</v>
      </c>
      <c r="P54" s="1141">
        <f t="shared" si="17"/>
        <v>0</v>
      </c>
      <c r="Q54" s="1141">
        <f t="shared" si="12"/>
        <v>0</v>
      </c>
      <c r="R54" s="1141">
        <f t="shared" si="18"/>
        <v>0</v>
      </c>
      <c r="S54" s="1140"/>
    </row>
    <row r="55" spans="2:19">
      <c r="B55" s="1131">
        <f t="shared" si="13"/>
        <v>33</v>
      </c>
      <c r="D55" s="1137" t="s">
        <v>639</v>
      </c>
      <c r="E55" s="1136">
        <v>30</v>
      </c>
      <c r="F55" s="1138">
        <f t="shared" si="20"/>
        <v>93</v>
      </c>
      <c r="G55" s="1138">
        <f t="shared" si="14"/>
        <v>214</v>
      </c>
      <c r="H55" s="1139">
        <f t="shared" si="10"/>
        <v>0.43457943925233644</v>
      </c>
      <c r="I55" s="1140"/>
      <c r="J55" s="1136"/>
      <c r="K55" s="1141">
        <f t="shared" si="19"/>
        <v>0</v>
      </c>
      <c r="L55" s="1141">
        <f t="shared" si="15"/>
        <v>0</v>
      </c>
      <c r="M55" s="1140"/>
      <c r="N55" s="1136">
        <v>0</v>
      </c>
      <c r="O55" s="1141">
        <f t="shared" si="16"/>
        <v>0</v>
      </c>
      <c r="P55" s="1141">
        <f t="shared" si="17"/>
        <v>0</v>
      </c>
      <c r="Q55" s="1141">
        <f t="shared" si="12"/>
        <v>0</v>
      </c>
      <c r="R55" s="1141">
        <f t="shared" si="18"/>
        <v>0</v>
      </c>
      <c r="S55" s="1140"/>
    </row>
    <row r="56" spans="2:19">
      <c r="B56" s="1131">
        <f t="shared" si="13"/>
        <v>34</v>
      </c>
      <c r="D56" s="1137" t="s">
        <v>640</v>
      </c>
      <c r="E56" s="1136">
        <v>31</v>
      </c>
      <c r="F56" s="1138">
        <f t="shared" si="20"/>
        <v>62</v>
      </c>
      <c r="G56" s="1138">
        <f t="shared" si="14"/>
        <v>214</v>
      </c>
      <c r="H56" s="1139">
        <f t="shared" si="10"/>
        <v>0.28971962616822428</v>
      </c>
      <c r="I56" s="1140"/>
      <c r="J56" s="1136"/>
      <c r="K56" s="1141">
        <f t="shared" si="19"/>
        <v>0</v>
      </c>
      <c r="L56" s="1141">
        <f t="shared" si="15"/>
        <v>0</v>
      </c>
      <c r="M56" s="1140"/>
      <c r="N56" s="1136">
        <v>0</v>
      </c>
      <c r="O56" s="1141">
        <f t="shared" si="16"/>
        <v>0</v>
      </c>
      <c r="P56" s="1141">
        <f t="shared" si="17"/>
        <v>0</v>
      </c>
      <c r="Q56" s="1141">
        <f t="shared" si="12"/>
        <v>0</v>
      </c>
      <c r="R56" s="1141">
        <f t="shared" si="18"/>
        <v>0</v>
      </c>
      <c r="S56" s="1140"/>
    </row>
    <row r="57" spans="2:19">
      <c r="B57" s="1131">
        <f t="shared" si="13"/>
        <v>35</v>
      </c>
      <c r="D57" s="1137" t="s">
        <v>641</v>
      </c>
      <c r="E57" s="1136">
        <v>30</v>
      </c>
      <c r="F57" s="1138">
        <f t="shared" si="20"/>
        <v>32</v>
      </c>
      <c r="G57" s="1138">
        <f t="shared" si="14"/>
        <v>214</v>
      </c>
      <c r="H57" s="1139">
        <f t="shared" si="10"/>
        <v>0.14953271028037382</v>
      </c>
      <c r="I57" s="1140"/>
      <c r="J57" s="1136"/>
      <c r="K57" s="1141">
        <f t="shared" si="19"/>
        <v>0</v>
      </c>
      <c r="L57" s="1141">
        <f t="shared" si="15"/>
        <v>0</v>
      </c>
      <c r="M57" s="1140"/>
      <c r="N57" s="1136">
        <v>0</v>
      </c>
      <c r="O57" s="1141">
        <f t="shared" si="16"/>
        <v>0</v>
      </c>
      <c r="P57" s="1141">
        <f t="shared" si="17"/>
        <v>0</v>
      </c>
      <c r="Q57" s="1141">
        <f t="shared" si="12"/>
        <v>0</v>
      </c>
      <c r="R57" s="1141">
        <f t="shared" si="18"/>
        <v>0</v>
      </c>
      <c r="S57" s="1140"/>
    </row>
    <row r="58" spans="2:19">
      <c r="B58" s="1131">
        <f t="shared" si="13"/>
        <v>36</v>
      </c>
      <c r="D58" s="1142" t="s">
        <v>895</v>
      </c>
      <c r="E58" s="1136">
        <v>31</v>
      </c>
      <c r="F58" s="1143">
        <v>1</v>
      </c>
      <c r="G58" s="1138">
        <f t="shared" si="14"/>
        <v>214</v>
      </c>
      <c r="H58" s="1139">
        <f t="shared" si="10"/>
        <v>4.6728971962616819E-3</v>
      </c>
      <c r="I58" s="1140"/>
      <c r="J58" s="1136"/>
      <c r="K58" s="1141">
        <f t="shared" si="19"/>
        <v>0</v>
      </c>
      <c r="L58" s="1141">
        <f t="shared" si="15"/>
        <v>0</v>
      </c>
      <c r="M58" s="1140"/>
      <c r="N58" s="1136">
        <v>0</v>
      </c>
      <c r="O58" s="1141">
        <f t="shared" si="16"/>
        <v>0</v>
      </c>
      <c r="P58" s="1141">
        <f t="shared" si="17"/>
        <v>0</v>
      </c>
      <c r="Q58" s="1141">
        <f t="shared" si="12"/>
        <v>0</v>
      </c>
      <c r="R58" s="1141">
        <f t="shared" si="18"/>
        <v>0</v>
      </c>
      <c r="S58" s="1140"/>
    </row>
    <row r="59" spans="2:19">
      <c r="B59" s="1131">
        <f t="shared" si="13"/>
        <v>37</v>
      </c>
      <c r="D59" s="1144" t="str">
        <f>"Total (Sum of Lines "&amp;B47&amp;" - "&amp;B58&amp;")"</f>
        <v>Total (Sum of Lines 25 - 36)</v>
      </c>
      <c r="E59" s="1145">
        <f>SUM(E47:E58)</f>
        <v>365</v>
      </c>
      <c r="F59" s="1146"/>
      <c r="G59" s="1146"/>
      <c r="H59" s="1147"/>
      <c r="I59" s="1148"/>
      <c r="J59" s="1145">
        <f>SUM(J47:J58)</f>
        <v>0</v>
      </c>
      <c r="K59" s="1145">
        <f>SUM(K47:K58)</f>
        <v>0</v>
      </c>
      <c r="L59" s="1145">
        <f>SUM(L47:L58)</f>
        <v>0</v>
      </c>
      <c r="M59" s="1148"/>
      <c r="N59" s="1145">
        <f>SUM(N47:N58)</f>
        <v>0</v>
      </c>
      <c r="O59" s="1145">
        <f>SUM(O47:O58)</f>
        <v>0</v>
      </c>
      <c r="P59" s="1145">
        <f>SUM(P47:P58)</f>
        <v>0</v>
      </c>
      <c r="Q59" s="1145">
        <f>SUM(Q47:Q58)</f>
        <v>0</v>
      </c>
      <c r="R59" s="1149"/>
      <c r="S59" s="1148"/>
    </row>
    <row r="60" spans="2:19">
      <c r="D60" s="1150"/>
      <c r="E60" s="1150"/>
      <c r="F60" s="1150"/>
      <c r="G60" s="1150"/>
      <c r="H60" s="1151"/>
      <c r="I60" s="1151"/>
      <c r="K60" s="1152"/>
      <c r="L60" s="1151"/>
      <c r="M60" s="1151"/>
      <c r="N60" s="1162"/>
      <c r="O60" s="1152"/>
      <c r="P60" s="1152"/>
      <c r="Q60" s="1152"/>
      <c r="R60" s="1151"/>
      <c r="S60" s="1151"/>
    </row>
    <row r="61" spans="2:19" ht="15" customHeight="1">
      <c r="B61" s="1131">
        <f>B59+1</f>
        <v>38</v>
      </c>
      <c r="D61" s="945" t="s">
        <v>1070</v>
      </c>
      <c r="I61" s="1151"/>
      <c r="J61" s="1136" t="str">
        <f>$J$12</f>
        <v>12/31/2021 (Actual)</v>
      </c>
      <c r="L61" s="1136">
        <v>0</v>
      </c>
      <c r="M61" s="1153"/>
      <c r="N61" s="1136" t="str">
        <f>$N$12</f>
        <v>12/31/2021 (Actual)</v>
      </c>
      <c r="R61" s="1136">
        <v>0</v>
      </c>
    </row>
    <row r="62" spans="2:19">
      <c r="B62" s="1131">
        <f>B61+1</f>
        <v>39</v>
      </c>
      <c r="D62" s="945" t="s">
        <v>1074</v>
      </c>
      <c r="I62" s="1151"/>
      <c r="J62" s="1154" t="s">
        <v>757</v>
      </c>
      <c r="L62" s="1155">
        <v>0</v>
      </c>
      <c r="M62" s="1156"/>
      <c r="N62" s="1154" t="s">
        <v>757</v>
      </c>
      <c r="R62" s="1155">
        <v>0</v>
      </c>
    </row>
    <row r="63" spans="2:19">
      <c r="B63" s="1131">
        <f>B62+1</f>
        <v>40</v>
      </c>
      <c r="D63" s="945" t="s">
        <v>1071</v>
      </c>
      <c r="I63" s="1151"/>
      <c r="J63" s="1144" t="str">
        <f>"(Col. "&amp;L42&amp;", Line "&amp;B61&amp;" + Line "&amp;B62&amp;")"</f>
        <v>(Col. (H), Line 38 + Line 39)</v>
      </c>
      <c r="L63" s="1157">
        <f>L61+L62</f>
        <v>0</v>
      </c>
      <c r="M63" s="1151"/>
      <c r="N63" s="1144" t="str">
        <f>"(Col. "&amp;R42&amp;", Line "&amp;B61&amp;" + Line "&amp;B62&amp;")"</f>
        <v>(Col. (M), Line 38 + Line 39)</v>
      </c>
      <c r="R63" s="1157">
        <f>R61+R62</f>
        <v>0</v>
      </c>
    </row>
    <row r="64" spans="2:19">
      <c r="I64" s="1151"/>
      <c r="L64" s="1157"/>
      <c r="M64" s="1151"/>
      <c r="R64" s="1157"/>
    </row>
    <row r="65" spans="2:19">
      <c r="B65" s="1131">
        <f>B63+1</f>
        <v>41</v>
      </c>
      <c r="D65" s="945" t="s">
        <v>1156</v>
      </c>
      <c r="I65" s="1151"/>
      <c r="J65" s="1136" t="str">
        <f>$J$32</f>
        <v>2022 Projected</v>
      </c>
      <c r="L65" s="1136">
        <v>0</v>
      </c>
      <c r="M65" s="1153"/>
      <c r="N65" s="1136" t="str">
        <f>$N$32</f>
        <v>12/31/2022 (Actual)</v>
      </c>
      <c r="R65" s="1136">
        <v>0</v>
      </c>
    </row>
    <row r="66" spans="2:19">
      <c r="B66" s="1131">
        <f>B65+1</f>
        <v>42</v>
      </c>
      <c r="D66" s="945" t="s">
        <v>1075</v>
      </c>
      <c r="I66" s="1151"/>
      <c r="J66" s="1154" t="s">
        <v>757</v>
      </c>
      <c r="L66" s="1155">
        <v>0</v>
      </c>
      <c r="M66" s="1151"/>
      <c r="N66" s="1154" t="s">
        <v>757</v>
      </c>
      <c r="R66" s="1155">
        <v>0</v>
      </c>
    </row>
    <row r="67" spans="2:19">
      <c r="B67" s="1131">
        <f>B66+1</f>
        <v>43</v>
      </c>
      <c r="D67" s="945" t="s">
        <v>1076</v>
      </c>
      <c r="I67" s="1151"/>
      <c r="J67" s="1144" t="str">
        <f>"(Col. "&amp;L42&amp;", Line "&amp;B65&amp;" + Line "&amp;B66&amp;")"</f>
        <v>(Col. (H), Line 41 + Line 42)</v>
      </c>
      <c r="L67" s="1157">
        <f>L65+L66</f>
        <v>0</v>
      </c>
      <c r="M67" s="1151"/>
      <c r="N67" s="1144" t="str">
        <f>"(Col. "&amp;R42&amp;", Line "&amp;B65&amp;" + Line "&amp;B66&amp;")"</f>
        <v>(Col. (M), Line 41 + Line 42)</v>
      </c>
      <c r="R67" s="1157">
        <f>R65+R66</f>
        <v>0</v>
      </c>
    </row>
    <row r="68" spans="2:19">
      <c r="I68" s="1151"/>
      <c r="L68" s="1157"/>
      <c r="M68" s="1151"/>
      <c r="R68" s="1157"/>
    </row>
    <row r="69" spans="2:19">
      <c r="B69" s="1131">
        <f>B67+1</f>
        <v>44</v>
      </c>
      <c r="D69" s="945" t="s">
        <v>1155</v>
      </c>
      <c r="I69" s="1151"/>
      <c r="J69" s="1144" t="str">
        <f>"([Col. "&amp;L42&amp;", Line "&amp;B63&amp;" + Line "&amp;B67&amp;"] /2)"</f>
        <v>([Col. (H), Line 40 + Line 43] /2)</v>
      </c>
      <c r="L69" s="1141">
        <f>(L63+L67)/2</f>
        <v>0</v>
      </c>
      <c r="M69" s="1151"/>
      <c r="N69" s="1144" t="str">
        <f>"([Col. "&amp;R42&amp;", Line "&amp;B63&amp;" + Line "&amp;B67&amp;"] /2)"</f>
        <v>([Col. (M), Line 40 + Line 43] /2)</v>
      </c>
      <c r="R69" s="1141">
        <f>(R63+R67)/2</f>
        <v>0</v>
      </c>
    </row>
    <row r="70" spans="2:19">
      <c r="B70" s="1131">
        <f>B69+1</f>
        <v>45</v>
      </c>
      <c r="D70" s="1150" t="s">
        <v>1154</v>
      </c>
      <c r="E70" s="1150"/>
      <c r="F70" s="1150"/>
      <c r="G70" s="1150"/>
      <c r="H70" s="1151"/>
      <c r="I70" s="1151"/>
      <c r="J70" s="1144" t="str">
        <f>"(Col. "&amp;L42&amp;", Line "&amp;B58&amp;" )"</f>
        <v>(Col. (H), Line 36 )</v>
      </c>
      <c r="K70" s="1152"/>
      <c r="L70" s="1141">
        <f>L58</f>
        <v>0</v>
      </c>
      <c r="M70" s="1151"/>
      <c r="N70" s="1144" t="str">
        <f>"(Col. "&amp;R42&amp;", Line "&amp;B58&amp;" )"</f>
        <v>(Col. (M), Line 36 )</v>
      </c>
      <c r="R70" s="1141">
        <f>R58</f>
        <v>0</v>
      </c>
    </row>
    <row r="71" spans="2:19" ht="13.5" thickBot="1">
      <c r="B71" s="1131">
        <f>B70+1</f>
        <v>46</v>
      </c>
      <c r="D71" s="1158" t="s">
        <v>1586</v>
      </c>
      <c r="E71" s="1150"/>
      <c r="F71" s="1150"/>
      <c r="G71" s="1150"/>
      <c r="H71" s="1151"/>
      <c r="I71" s="1151"/>
      <c r="J71" s="1144" t="str">
        <f>"(Col. "&amp;L42&amp;", Line "&amp;B69&amp;" + Line "&amp;B70&amp;")"</f>
        <v>(Col. (H), Line 44 + Line 45)</v>
      </c>
      <c r="K71" s="1152"/>
      <c r="L71" s="1159">
        <f>L69+L70</f>
        <v>0</v>
      </c>
      <c r="M71" s="1151"/>
      <c r="N71" s="1144" t="str">
        <f>"(Col. "&amp;R42&amp;", Line "&amp;B69&amp;" + Line "&amp;B70&amp;")"</f>
        <v>(Col. (M), Line 44 + Line 45)</v>
      </c>
      <c r="R71" s="1159">
        <f>R69+R70</f>
        <v>0</v>
      </c>
    </row>
    <row r="72" spans="2:19" ht="13">
      <c r="D72" s="1128"/>
    </row>
    <row r="73" spans="2:19" ht="13">
      <c r="D73" s="1128" t="s">
        <v>1073</v>
      </c>
      <c r="J73" s="1160"/>
      <c r="K73" s="1161"/>
      <c r="L73" s="1161"/>
      <c r="N73" s="1161"/>
      <c r="O73" s="1161"/>
      <c r="P73" s="1161"/>
      <c r="Q73" s="1161"/>
      <c r="R73" s="1161"/>
    </row>
    <row r="74" spans="2:19" ht="13">
      <c r="D74" s="1832" t="s">
        <v>1065</v>
      </c>
      <c r="E74" s="1833"/>
      <c r="F74" s="1833"/>
      <c r="G74" s="1833"/>
      <c r="H74" s="1834"/>
      <c r="I74" s="1132"/>
      <c r="J74" s="1835" t="s">
        <v>1563</v>
      </c>
      <c r="K74" s="1836"/>
      <c r="L74" s="1837"/>
      <c r="M74" s="1132"/>
      <c r="N74" s="1835" t="s">
        <v>1564</v>
      </c>
      <c r="O74" s="1836"/>
      <c r="P74" s="1836"/>
      <c r="Q74" s="1836"/>
      <c r="R74" s="1837"/>
      <c r="S74" s="1132"/>
    </row>
    <row r="75" spans="2:19" ht="13">
      <c r="D75" s="1133" t="s">
        <v>216</v>
      </c>
      <c r="E75" s="1133" t="s">
        <v>217</v>
      </c>
      <c r="F75" s="1133" t="s">
        <v>1565</v>
      </c>
      <c r="G75" s="1133" t="s">
        <v>1566</v>
      </c>
      <c r="H75" s="1133" t="s">
        <v>1567</v>
      </c>
      <c r="I75" s="1132"/>
      <c r="J75" s="1133" t="s">
        <v>1568</v>
      </c>
      <c r="K75" s="1133" t="s">
        <v>1569</v>
      </c>
      <c r="L75" s="1133" t="s">
        <v>1570</v>
      </c>
      <c r="M75" s="1132"/>
      <c r="N75" s="1133" t="s">
        <v>1571</v>
      </c>
      <c r="O75" s="1133" t="s">
        <v>1572</v>
      </c>
      <c r="P75" s="1133" t="s">
        <v>1573</v>
      </c>
      <c r="Q75" s="1133" t="s">
        <v>1574</v>
      </c>
      <c r="R75" s="1133" t="s">
        <v>1575</v>
      </c>
      <c r="S75" s="1132"/>
    </row>
    <row r="76" spans="2:19" ht="50">
      <c r="B76" s="1134" t="s">
        <v>1576</v>
      </c>
      <c r="D76" s="1135" t="s">
        <v>211</v>
      </c>
      <c r="E76" s="1135" t="s">
        <v>1066</v>
      </c>
      <c r="F76" s="1135" t="s">
        <v>1067</v>
      </c>
      <c r="G76" s="1135" t="s">
        <v>1068</v>
      </c>
      <c r="H76" s="1135" t="s">
        <v>1577</v>
      </c>
      <c r="I76" s="1361"/>
      <c r="J76" s="1135" t="s">
        <v>1069</v>
      </c>
      <c r="K76" s="1135" t="s">
        <v>1578</v>
      </c>
      <c r="L76" s="1135" t="s">
        <v>1579</v>
      </c>
      <c r="M76" s="1361"/>
      <c r="N76" s="1135" t="s">
        <v>1158</v>
      </c>
      <c r="O76" s="1135" t="s">
        <v>1580</v>
      </c>
      <c r="P76" s="1135" t="s">
        <v>1581</v>
      </c>
      <c r="Q76" s="1135" t="s">
        <v>1582</v>
      </c>
      <c r="R76" s="1135" t="s">
        <v>1583</v>
      </c>
      <c r="S76" s="1361"/>
    </row>
    <row r="77" spans="2:19">
      <c r="E77" s="1361"/>
      <c r="F77" s="1361"/>
      <c r="G77" s="1361"/>
      <c r="H77" s="1361"/>
      <c r="I77" s="1361"/>
      <c r="J77" s="1361"/>
      <c r="K77" s="1361"/>
      <c r="L77" s="1361"/>
      <c r="M77" s="1361"/>
      <c r="N77" s="1361"/>
      <c r="O77" s="1361"/>
      <c r="P77" s="1361"/>
      <c r="Q77" s="1361"/>
      <c r="R77" s="1361"/>
      <c r="S77" s="1361"/>
    </row>
    <row r="78" spans="2:19">
      <c r="B78" s="1131">
        <f>B71+1</f>
        <v>47</v>
      </c>
      <c r="D78" s="945" t="s">
        <v>1157</v>
      </c>
      <c r="E78" s="1361"/>
      <c r="F78" s="1361"/>
      <c r="G78" s="1361"/>
      <c r="H78" s="1361"/>
      <c r="I78" s="1361"/>
      <c r="J78" s="1136" t="str">
        <f>$J$12</f>
        <v>12/31/2021 (Actual)</v>
      </c>
      <c r="K78" s="1361"/>
      <c r="L78" s="1136">
        <f>'1C - ADIT BOY'!$H$180</f>
        <v>-88624091.53691116</v>
      </c>
      <c r="M78" s="1361"/>
      <c r="N78" s="1136" t="str">
        <f>$N$12</f>
        <v>12/31/2021 (Actual)</v>
      </c>
      <c r="O78" s="1361"/>
      <c r="P78" s="1361"/>
      <c r="Q78" s="1361"/>
      <c r="R78" s="1136">
        <f>'1C - ADIT BOY'!$H$180</f>
        <v>-88624091.53691116</v>
      </c>
      <c r="S78" s="1361"/>
    </row>
    <row r="79" spans="2:19">
      <c r="E79" s="1361"/>
      <c r="F79" s="1361"/>
      <c r="G79" s="1361"/>
      <c r="H79" s="1361"/>
      <c r="I79" s="1361"/>
      <c r="J79" s="1361"/>
      <c r="K79" s="1361"/>
      <c r="L79" s="1361"/>
      <c r="M79" s="1361"/>
      <c r="N79" s="1361"/>
      <c r="O79" s="1361"/>
      <c r="P79" s="1361"/>
      <c r="Q79" s="1361"/>
      <c r="R79" s="1361"/>
      <c r="S79" s="1361"/>
    </row>
    <row r="80" spans="2:19">
      <c r="B80" s="1131">
        <f>B78+1</f>
        <v>48</v>
      </c>
      <c r="D80" s="1137" t="s">
        <v>634</v>
      </c>
      <c r="E80" s="1136">
        <v>31</v>
      </c>
      <c r="F80" s="1138">
        <v>0</v>
      </c>
      <c r="G80" s="1138">
        <v>214</v>
      </c>
      <c r="H80" s="1139">
        <f t="shared" ref="H80:H91" si="21">IF(F80=0,0.5,F80/G80)</f>
        <v>0.5</v>
      </c>
      <c r="I80" s="1140"/>
      <c r="J80" s="1136">
        <v>45156.261884453394</v>
      </c>
      <c r="K80" s="1141">
        <f t="shared" ref="K80" si="22">+J80*H80</f>
        <v>22578.130942226697</v>
      </c>
      <c r="L80" s="1141">
        <f>+K80+L78</f>
        <v>-88601513.405968934</v>
      </c>
      <c r="M80" s="1140"/>
      <c r="N80" s="1136">
        <v>78157.450630714608</v>
      </c>
      <c r="O80" s="1141">
        <f>IF($D$177="True-Up Adjustment",N80-J80,0)</f>
        <v>33001.188746261214</v>
      </c>
      <c r="P80" s="1141">
        <f>IF($D$177="True-Up Adjustment",IF(AND(J80&gt;=0,N80&gt;=0),IF(O80&gt;=0,K80+O80,N80/J80*K80),IF(AND(J80&lt;0,N80&lt;0),IF(O80&lt;0,K80+O80,N80/J80*K80),0)),0)</f>
        <v>55579.319688487914</v>
      </c>
      <c r="Q80" s="1141">
        <f t="shared" ref="Q80:Q91" si="23">IF(AND(J80&gt;=0,N80&lt;0),N80,IF(AND(J80&lt;0,N80&gt;=0),N80,0))</f>
        <v>0</v>
      </c>
      <c r="R80" s="1141">
        <f>R78+P80+Q80</f>
        <v>-88568512.217222676</v>
      </c>
      <c r="S80" s="1140"/>
    </row>
    <row r="81" spans="2:19">
      <c r="B81" s="1131">
        <f t="shared" ref="B81:B92" si="24">+B80+1</f>
        <v>49</v>
      </c>
      <c r="D81" s="1137" t="s">
        <v>635</v>
      </c>
      <c r="E81" s="1136">
        <v>28</v>
      </c>
      <c r="F81" s="1138">
        <v>0</v>
      </c>
      <c r="G81" s="1138">
        <f t="shared" ref="G81:G91" si="25">G80</f>
        <v>214</v>
      </c>
      <c r="H81" s="1139">
        <f t="shared" si="21"/>
        <v>0.5</v>
      </c>
      <c r="I81" s="1140"/>
      <c r="J81" s="1136">
        <v>47622.41950322238</v>
      </c>
      <c r="K81" s="1141">
        <f>+J81*H81</f>
        <v>23811.20975161119</v>
      </c>
      <c r="L81" s="1141">
        <f t="shared" ref="L81:L91" si="26">+K81+L80</f>
        <v>-88577702.196217328</v>
      </c>
      <c r="M81" s="1140"/>
      <c r="N81" s="1136">
        <v>74314.330051396188</v>
      </c>
      <c r="O81" s="1141">
        <f t="shared" ref="O81:O91" si="27">IF($D$177="True-Up Adjustment",N81-J81,0)</f>
        <v>26691.910548173808</v>
      </c>
      <c r="P81" s="1141">
        <f t="shared" ref="P81:P91" si="28">IF($D$177="True-Up Adjustment",IF(AND(J81&gt;=0,N81&gt;=0),IF(O81&gt;=0,K81+O81,N81/J81*K81),IF(AND(J81&lt;0,N81&lt;0),IF(O81&lt;0,K81+O81,N81/J81*K81),0)),0)</f>
        <v>50503.120299784998</v>
      </c>
      <c r="Q81" s="1141">
        <f t="shared" si="23"/>
        <v>0</v>
      </c>
      <c r="R81" s="1141">
        <f t="shared" ref="R81:R91" si="29">R80+P81+Q81</f>
        <v>-88518009.096922889</v>
      </c>
      <c r="S81" s="1140"/>
    </row>
    <row r="82" spans="2:19">
      <c r="B82" s="1131">
        <f t="shared" si="24"/>
        <v>50</v>
      </c>
      <c r="D82" s="1137" t="s">
        <v>662</v>
      </c>
      <c r="E82" s="1136">
        <v>31</v>
      </c>
      <c r="F82" s="1138">
        <v>0</v>
      </c>
      <c r="G82" s="1138">
        <f t="shared" si="25"/>
        <v>214</v>
      </c>
      <c r="H82" s="1139">
        <f t="shared" si="21"/>
        <v>0.5</v>
      </c>
      <c r="I82" s="1140"/>
      <c r="J82" s="1136">
        <v>148739.58270360055</v>
      </c>
      <c r="K82" s="1141">
        <f t="shared" ref="K82:K91" si="30">+J82*H82</f>
        <v>74369.791351800275</v>
      </c>
      <c r="L82" s="1141">
        <f t="shared" si="26"/>
        <v>-88503332.404865533</v>
      </c>
      <c r="M82" s="1140"/>
      <c r="N82" s="1136">
        <v>99983.293964862634</v>
      </c>
      <c r="O82" s="1141">
        <f t="shared" si="27"/>
        <v>-48756.288738737916</v>
      </c>
      <c r="P82" s="1141">
        <f t="shared" si="28"/>
        <v>49991.646982431317</v>
      </c>
      <c r="Q82" s="1141">
        <f t="shared" si="23"/>
        <v>0</v>
      </c>
      <c r="R82" s="1141">
        <f t="shared" si="29"/>
        <v>-88468017.449940458</v>
      </c>
      <c r="S82" s="1140"/>
    </row>
    <row r="83" spans="2:19">
      <c r="B83" s="1131">
        <f t="shared" si="24"/>
        <v>51</v>
      </c>
      <c r="D83" s="1137" t="s">
        <v>213</v>
      </c>
      <c r="E83" s="1136">
        <v>30</v>
      </c>
      <c r="F83" s="1138">
        <v>0</v>
      </c>
      <c r="G83" s="1138">
        <f t="shared" si="25"/>
        <v>214</v>
      </c>
      <c r="H83" s="1139">
        <f t="shared" si="21"/>
        <v>0.5</v>
      </c>
      <c r="I83" s="1140"/>
      <c r="J83" s="1136">
        <v>162184.7858666855</v>
      </c>
      <c r="K83" s="1141">
        <f t="shared" si="30"/>
        <v>81092.392933342751</v>
      </c>
      <c r="L83" s="1141">
        <f t="shared" si="26"/>
        <v>-88422240.011932194</v>
      </c>
      <c r="M83" s="1140"/>
      <c r="N83" s="1136">
        <v>65210.961951168028</v>
      </c>
      <c r="O83" s="1141">
        <f t="shared" si="27"/>
        <v>-96973.823915517482</v>
      </c>
      <c r="P83" s="1141">
        <f t="shared" si="28"/>
        <v>32605.480975584014</v>
      </c>
      <c r="Q83" s="1141">
        <f t="shared" si="23"/>
        <v>0</v>
      </c>
      <c r="R83" s="1141">
        <f t="shared" si="29"/>
        <v>-88435411.968964875</v>
      </c>
      <c r="S83" s="1140"/>
    </row>
    <row r="84" spans="2:19">
      <c r="B84" s="1131">
        <f t="shared" si="24"/>
        <v>52</v>
      </c>
      <c r="D84" s="1137" t="s">
        <v>214</v>
      </c>
      <c r="E84" s="1136">
        <v>31</v>
      </c>
      <c r="F84" s="1138">
        <v>0</v>
      </c>
      <c r="G84" s="1138">
        <f t="shared" si="25"/>
        <v>214</v>
      </c>
      <c r="H84" s="1139">
        <f t="shared" si="21"/>
        <v>0.5</v>
      </c>
      <c r="I84" s="1140"/>
      <c r="J84" s="1136">
        <v>166265.50513090138</v>
      </c>
      <c r="K84" s="1141">
        <f t="shared" si="30"/>
        <v>83132.75256545069</v>
      </c>
      <c r="L84" s="1141">
        <f t="shared" si="26"/>
        <v>-88339107.259366751</v>
      </c>
      <c r="M84" s="1140"/>
      <c r="N84" s="1136">
        <v>61344.535474128883</v>
      </c>
      <c r="O84" s="1141">
        <f t="shared" si="27"/>
        <v>-104920.9696567725</v>
      </c>
      <c r="P84" s="1141">
        <f t="shared" si="28"/>
        <v>30672.267737064441</v>
      </c>
      <c r="Q84" s="1141">
        <f t="shared" si="23"/>
        <v>0</v>
      </c>
      <c r="R84" s="1141">
        <f t="shared" si="29"/>
        <v>-88404739.701227814</v>
      </c>
      <c r="S84" s="1140"/>
    </row>
    <row r="85" spans="2:19">
      <c r="B85" s="1131">
        <f t="shared" si="24"/>
        <v>53</v>
      </c>
      <c r="D85" s="1137" t="s">
        <v>215</v>
      </c>
      <c r="E85" s="1136">
        <v>30</v>
      </c>
      <c r="F85" s="1138">
        <f t="shared" ref="F85:F90" si="31">E86+F86</f>
        <v>185</v>
      </c>
      <c r="G85" s="1138">
        <f t="shared" si="25"/>
        <v>214</v>
      </c>
      <c r="H85" s="1139">
        <f t="shared" si="21"/>
        <v>0.86448598130841126</v>
      </c>
      <c r="I85" s="1140"/>
      <c r="J85" s="1136">
        <v>162321.36353253704</v>
      </c>
      <c r="K85" s="1141">
        <f t="shared" si="30"/>
        <v>140324.54324074465</v>
      </c>
      <c r="L85" s="1141">
        <f t="shared" si="26"/>
        <v>-88198782.71612601</v>
      </c>
      <c r="M85" s="1140"/>
      <c r="N85" s="1136">
        <v>64752.238019138167</v>
      </c>
      <c r="O85" s="1141">
        <f t="shared" si="27"/>
        <v>-97569.125513398874</v>
      </c>
      <c r="P85" s="1141">
        <f t="shared" si="28"/>
        <v>55977.402025890478</v>
      </c>
      <c r="Q85" s="1141">
        <f t="shared" si="23"/>
        <v>0</v>
      </c>
      <c r="R85" s="1141">
        <f t="shared" si="29"/>
        <v>-88348762.299201921</v>
      </c>
      <c r="S85" s="1140"/>
    </row>
    <row r="86" spans="2:19">
      <c r="B86" s="1131">
        <f t="shared" si="24"/>
        <v>54</v>
      </c>
      <c r="D86" s="1137" t="s">
        <v>637</v>
      </c>
      <c r="E86" s="1136">
        <v>31</v>
      </c>
      <c r="F86" s="1138">
        <f t="shared" si="31"/>
        <v>154</v>
      </c>
      <c r="G86" s="1138">
        <f t="shared" si="25"/>
        <v>214</v>
      </c>
      <c r="H86" s="1139">
        <f t="shared" si="21"/>
        <v>0.71962616822429903</v>
      </c>
      <c r="I86" s="1140"/>
      <c r="J86" s="1136">
        <v>175406.53055254187</v>
      </c>
      <c r="K86" s="1141">
        <f t="shared" si="30"/>
        <v>126227.12946304414</v>
      </c>
      <c r="L86" s="1141">
        <f t="shared" si="26"/>
        <v>-88072555.586662963</v>
      </c>
      <c r="M86" s="1140"/>
      <c r="N86" s="1136">
        <v>52832.951102723629</v>
      </c>
      <c r="O86" s="1141">
        <f t="shared" si="27"/>
        <v>-122573.57944981824</v>
      </c>
      <c r="P86" s="1141">
        <f t="shared" si="28"/>
        <v>38019.974158034762</v>
      </c>
      <c r="Q86" s="1141">
        <f t="shared" si="23"/>
        <v>0</v>
      </c>
      <c r="R86" s="1141">
        <f t="shared" si="29"/>
        <v>-88310742.325043887</v>
      </c>
      <c r="S86" s="1140"/>
    </row>
    <row r="87" spans="2:19">
      <c r="B87" s="1131">
        <f t="shared" si="24"/>
        <v>55</v>
      </c>
      <c r="D87" s="1137" t="s">
        <v>663</v>
      </c>
      <c r="E87" s="1136">
        <v>31</v>
      </c>
      <c r="F87" s="1138">
        <f t="shared" si="31"/>
        <v>123</v>
      </c>
      <c r="G87" s="1138">
        <f t="shared" si="25"/>
        <v>214</v>
      </c>
      <c r="H87" s="1139">
        <f t="shared" si="21"/>
        <v>0.57476635514018692</v>
      </c>
      <c r="I87" s="1140"/>
      <c r="J87" s="1136">
        <v>178066.32156675929</v>
      </c>
      <c r="K87" s="1141">
        <f t="shared" si="30"/>
        <v>102346.53062014669</v>
      </c>
      <c r="L87" s="1141">
        <f t="shared" si="26"/>
        <v>-87970209.05604282</v>
      </c>
      <c r="M87" s="1140"/>
      <c r="N87" s="1136">
        <v>381703.84928927559</v>
      </c>
      <c r="O87" s="1141">
        <f t="shared" si="27"/>
        <v>203637.5277225163</v>
      </c>
      <c r="P87" s="1141">
        <f t="shared" si="28"/>
        <v>305984.05834266299</v>
      </c>
      <c r="Q87" s="1141">
        <f t="shared" si="23"/>
        <v>0</v>
      </c>
      <c r="R87" s="1141">
        <f t="shared" si="29"/>
        <v>-88004758.266701221</v>
      </c>
      <c r="S87" s="1140"/>
    </row>
    <row r="88" spans="2:19">
      <c r="B88" s="1131">
        <f t="shared" si="24"/>
        <v>56</v>
      </c>
      <c r="D88" s="1137" t="s">
        <v>639</v>
      </c>
      <c r="E88" s="1136">
        <v>30</v>
      </c>
      <c r="F88" s="1138">
        <f t="shared" si="31"/>
        <v>93</v>
      </c>
      <c r="G88" s="1138">
        <f t="shared" si="25"/>
        <v>214</v>
      </c>
      <c r="H88" s="1139">
        <f t="shared" si="21"/>
        <v>0.43457943925233644</v>
      </c>
      <c r="I88" s="1140"/>
      <c r="J88" s="1136">
        <v>174033.33881697731</v>
      </c>
      <c r="K88" s="1141">
        <f t="shared" si="30"/>
        <v>75631.31079429388</v>
      </c>
      <c r="L88" s="1141">
        <f t="shared" si="26"/>
        <v>-87894577.745248526</v>
      </c>
      <c r="M88" s="1140"/>
      <c r="N88" s="1136">
        <v>67796.631909928183</v>
      </c>
      <c r="O88" s="1141">
        <f t="shared" si="27"/>
        <v>-106236.70690704913</v>
      </c>
      <c r="P88" s="1141">
        <f t="shared" si="28"/>
        <v>29463.022278613651</v>
      </c>
      <c r="Q88" s="1141">
        <f t="shared" si="23"/>
        <v>0</v>
      </c>
      <c r="R88" s="1141">
        <f t="shared" si="29"/>
        <v>-87975295.244422615</v>
      </c>
      <c r="S88" s="1140"/>
    </row>
    <row r="89" spans="2:19">
      <c r="B89" s="1131">
        <f t="shared" si="24"/>
        <v>57</v>
      </c>
      <c r="D89" s="1137" t="s">
        <v>640</v>
      </c>
      <c r="E89" s="1136">
        <v>31</v>
      </c>
      <c r="F89" s="1138">
        <f t="shared" si="31"/>
        <v>62</v>
      </c>
      <c r="G89" s="1138">
        <f t="shared" si="25"/>
        <v>214</v>
      </c>
      <c r="H89" s="1139">
        <f t="shared" si="21"/>
        <v>0.28971962616822428</v>
      </c>
      <c r="I89" s="1140"/>
      <c r="J89" s="1136">
        <v>189596.3697369307</v>
      </c>
      <c r="K89" s="1141">
        <f t="shared" si="30"/>
        <v>54929.789363035998</v>
      </c>
      <c r="L89" s="1141">
        <f t="shared" si="26"/>
        <v>-87839647.955885485</v>
      </c>
      <c r="M89" s="1140"/>
      <c r="N89" s="1136">
        <v>56854.963983661182</v>
      </c>
      <c r="O89" s="1141">
        <f t="shared" si="27"/>
        <v>-132741.40575326953</v>
      </c>
      <c r="P89" s="1141">
        <f t="shared" si="28"/>
        <v>16471.998911154173</v>
      </c>
      <c r="Q89" s="1141">
        <f t="shared" si="23"/>
        <v>0</v>
      </c>
      <c r="R89" s="1141">
        <f t="shared" si="29"/>
        <v>-87958823.245511457</v>
      </c>
      <c r="S89" s="1140"/>
    </row>
    <row r="90" spans="2:19">
      <c r="B90" s="1131">
        <f t="shared" si="24"/>
        <v>58</v>
      </c>
      <c r="D90" s="1137" t="s">
        <v>641</v>
      </c>
      <c r="E90" s="1136">
        <v>30</v>
      </c>
      <c r="F90" s="1138">
        <f t="shared" si="31"/>
        <v>32</v>
      </c>
      <c r="G90" s="1138">
        <f t="shared" si="25"/>
        <v>214</v>
      </c>
      <c r="H90" s="1139">
        <f t="shared" si="21"/>
        <v>0.14953271028037382</v>
      </c>
      <c r="I90" s="1140"/>
      <c r="J90" s="1136">
        <v>193662.97882842727</v>
      </c>
      <c r="K90" s="1141">
        <f t="shared" si="30"/>
        <v>28958.950105185384</v>
      </c>
      <c r="L90" s="1141">
        <f t="shared" si="26"/>
        <v>-87810689.005780295</v>
      </c>
      <c r="M90" s="1140"/>
      <c r="N90" s="1136">
        <v>51028.633564524258</v>
      </c>
      <c r="O90" s="1141">
        <f t="shared" si="27"/>
        <v>-142634.345263903</v>
      </c>
      <c r="P90" s="1141">
        <f t="shared" si="28"/>
        <v>7630.4498788073652</v>
      </c>
      <c r="Q90" s="1141">
        <f t="shared" si="23"/>
        <v>0</v>
      </c>
      <c r="R90" s="1141">
        <f t="shared" si="29"/>
        <v>-87951192.795632645</v>
      </c>
      <c r="S90" s="1140"/>
    </row>
    <row r="91" spans="2:19">
      <c r="B91" s="1131">
        <f t="shared" si="24"/>
        <v>59</v>
      </c>
      <c r="D91" s="1142" t="s">
        <v>895</v>
      </c>
      <c r="E91" s="1136">
        <v>31</v>
      </c>
      <c r="F91" s="1143">
        <v>1</v>
      </c>
      <c r="G91" s="1138">
        <f t="shared" si="25"/>
        <v>214</v>
      </c>
      <c r="H91" s="1139">
        <f t="shared" si="21"/>
        <v>4.6728971962616819E-3</v>
      </c>
      <c r="I91" s="1140"/>
      <c r="J91" s="1155">
        <v>191361.01695082241</v>
      </c>
      <c r="K91" s="1141">
        <f t="shared" si="30"/>
        <v>894.21035958328218</v>
      </c>
      <c r="L91" s="1141">
        <f t="shared" si="26"/>
        <v>-87809794.795420706</v>
      </c>
      <c r="M91" s="1140"/>
      <c r="N91" s="1136">
        <v>-102752.93633439168</v>
      </c>
      <c r="O91" s="1141">
        <f t="shared" si="27"/>
        <v>-294113.95328521408</v>
      </c>
      <c r="P91" s="1141">
        <f t="shared" si="28"/>
        <v>0</v>
      </c>
      <c r="Q91" s="1141">
        <f t="shared" si="23"/>
        <v>-102752.93633439168</v>
      </c>
      <c r="R91" s="1141">
        <f t="shared" si="29"/>
        <v>-88053945.731967032</v>
      </c>
      <c r="S91" s="1140"/>
    </row>
    <row r="92" spans="2:19">
      <c r="B92" s="1131">
        <f t="shared" si="24"/>
        <v>60</v>
      </c>
      <c r="D92" s="1144" t="str">
        <f>"Total (Sum of Lines "&amp;B80&amp;" - "&amp;B91&amp;")"</f>
        <v>Total (Sum of Lines 48 - 59)</v>
      </c>
      <c r="E92" s="1145">
        <f>SUM(E80:E91)</f>
        <v>365</v>
      </c>
      <c r="F92" s="1146"/>
      <c r="G92" s="1146"/>
      <c r="H92" s="1147"/>
      <c r="I92" s="1148"/>
      <c r="J92" s="1145">
        <f>SUM(J80:J91)</f>
        <v>1834416.4750738591</v>
      </c>
      <c r="K92" s="1145">
        <f>SUM(K80:K91)</f>
        <v>814296.74149046559</v>
      </c>
      <c r="L92" s="1145"/>
      <c r="M92" s="1148"/>
      <c r="N92" s="1145">
        <f>SUM(N80:N91)</f>
        <v>951226.9036071297</v>
      </c>
      <c r="O92" s="1145">
        <f>SUM(O80:O91)</f>
        <v>-883189.57146672951</v>
      </c>
      <c r="P92" s="1145">
        <f>SUM(P80:P91)</f>
        <v>672898.74127851625</v>
      </c>
      <c r="Q92" s="1145">
        <f>SUM(Q80:Q91)</f>
        <v>-102752.93633439168</v>
      </c>
      <c r="R92" s="1149"/>
      <c r="S92" s="1148"/>
    </row>
    <row r="93" spans="2:19">
      <c r="D93" s="1150"/>
      <c r="E93" s="1150"/>
      <c r="F93" s="1150"/>
      <c r="G93" s="1150"/>
      <c r="H93" s="1151"/>
      <c r="I93" s="1151"/>
      <c r="K93" s="1152"/>
      <c r="L93" s="1151"/>
      <c r="M93" s="1151"/>
      <c r="N93" s="1162"/>
      <c r="O93" s="1152"/>
      <c r="P93" s="1152"/>
      <c r="Q93" s="1152"/>
      <c r="R93" s="1151"/>
      <c r="S93" s="1151"/>
    </row>
    <row r="94" spans="2:19" ht="15" customHeight="1">
      <c r="B94" s="1131">
        <f>B92+1</f>
        <v>61</v>
      </c>
      <c r="D94" s="945" t="s">
        <v>1070</v>
      </c>
      <c r="I94" s="1151"/>
      <c r="J94" s="1136" t="str">
        <f>$J$12</f>
        <v>12/31/2021 (Actual)</v>
      </c>
      <c r="L94" s="1136">
        <f>'1C - ADIT BOY'!$E$13</f>
        <v>-148225095.81276774</v>
      </c>
      <c r="M94" s="1153"/>
      <c r="N94" s="1136" t="str">
        <f>$N$12</f>
        <v>12/31/2021 (Actual)</v>
      </c>
      <c r="R94" s="1136">
        <f>'1C - ADIT BOY'!$E$13</f>
        <v>-148225095.81276774</v>
      </c>
    </row>
    <row r="95" spans="2:19">
      <c r="B95" s="1131">
        <f>B94+1</f>
        <v>62</v>
      </c>
      <c r="D95" s="945" t="s">
        <v>1074</v>
      </c>
      <c r="I95" s="1151"/>
      <c r="J95" s="1154" t="s">
        <v>757</v>
      </c>
      <c r="L95" s="1155">
        <v>0</v>
      </c>
      <c r="M95" s="1156"/>
      <c r="N95" s="1154" t="s">
        <v>757</v>
      </c>
      <c r="R95" s="1155">
        <v>0</v>
      </c>
    </row>
    <row r="96" spans="2:19">
      <c r="B96" s="1131">
        <f>B95+1</f>
        <v>63</v>
      </c>
      <c r="D96" s="945" t="s">
        <v>1071</v>
      </c>
      <c r="I96" s="1151"/>
      <c r="J96" s="1144" t="str">
        <f>"(Col. "&amp;L75&amp;", Line "&amp;B94&amp;" + Line "&amp;B95&amp;")"</f>
        <v>(Col. (H), Line 61 + Line 62)</v>
      </c>
      <c r="L96" s="1157">
        <f>L94+L95</f>
        <v>-148225095.81276774</v>
      </c>
      <c r="M96" s="1151"/>
      <c r="N96" s="1144" t="str">
        <f>"(Col. "&amp;R75&amp;", Line "&amp;B94&amp;" + Line "&amp;B95&amp;")"</f>
        <v>(Col. (M), Line 61 + Line 62)</v>
      </c>
      <c r="R96" s="1157">
        <f>R94+R95</f>
        <v>-148225095.81276774</v>
      </c>
    </row>
    <row r="97" spans="2:19">
      <c r="I97" s="1151"/>
      <c r="L97" s="1157"/>
      <c r="M97" s="1151"/>
      <c r="R97" s="1157"/>
    </row>
    <row r="98" spans="2:19">
      <c r="B98" s="1131">
        <f>B96+1</f>
        <v>64</v>
      </c>
      <c r="D98" s="945" t="s">
        <v>1156</v>
      </c>
      <c r="I98" s="1151"/>
      <c r="J98" s="1136" t="str">
        <f>$J$32</f>
        <v>2022 Projected</v>
      </c>
      <c r="L98" s="1136">
        <v>-159953837.36682585</v>
      </c>
      <c r="M98" s="1153"/>
      <c r="N98" s="1136" t="str">
        <f>$N$32</f>
        <v>12/31/2022 (Actual)</v>
      </c>
      <c r="R98" s="1136">
        <f>'1B - ADIT EOY'!$E$13</f>
        <v>-158328408.7103239</v>
      </c>
    </row>
    <row r="99" spans="2:19">
      <c r="B99" s="1131">
        <f>B98+1</f>
        <v>65</v>
      </c>
      <c r="D99" s="945" t="s">
        <v>1075</v>
      </c>
      <c r="I99" s="1151"/>
      <c r="J99" s="1154" t="s">
        <v>757</v>
      </c>
      <c r="L99" s="1155">
        <v>0</v>
      </c>
      <c r="M99" s="1151"/>
      <c r="N99" s="1154" t="s">
        <v>757</v>
      </c>
      <c r="R99" s="1155">
        <v>0</v>
      </c>
    </row>
    <row r="100" spans="2:19">
      <c r="B100" s="1131">
        <f>B99+1</f>
        <v>66</v>
      </c>
      <c r="D100" s="945" t="s">
        <v>1076</v>
      </c>
      <c r="I100" s="1151"/>
      <c r="J100" s="1144" t="str">
        <f>"(Col. "&amp;L75&amp;", Line "&amp;B98&amp;" + Line "&amp;B99&amp;")"</f>
        <v>(Col. (H), Line 64 + Line 65)</v>
      </c>
      <c r="L100" s="1157">
        <f>L98+L99</f>
        <v>-159953837.36682585</v>
      </c>
      <c r="M100" s="1151"/>
      <c r="N100" s="1144" t="str">
        <f>"(Col. "&amp;R75&amp;", Line "&amp;B98&amp;" + Line "&amp;B99&amp;")"</f>
        <v>(Col. (M), Line 64 + Line 65)</v>
      </c>
      <c r="R100" s="1157">
        <f>R98+R99</f>
        <v>-158328408.7103239</v>
      </c>
    </row>
    <row r="101" spans="2:19">
      <c r="I101" s="1151"/>
      <c r="L101" s="1157"/>
      <c r="M101" s="1151"/>
      <c r="R101" s="1157"/>
    </row>
    <row r="102" spans="2:19">
      <c r="B102" s="1131">
        <f>B100+1</f>
        <v>67</v>
      </c>
      <c r="D102" s="945" t="s">
        <v>1155</v>
      </c>
      <c r="I102" s="1151"/>
      <c r="J102" s="1144" t="str">
        <f>"([Col. "&amp;L75&amp;", Line "&amp;B96&amp;" + Line "&amp;B100&amp;"] /2)"</f>
        <v>([Col. (H), Line 63 + Line 66] /2)</v>
      </c>
      <c r="L102" s="1141">
        <f>(L96+L100)/2</f>
        <v>-154089466.58979678</v>
      </c>
      <c r="M102" s="1151"/>
      <c r="N102" s="1144" t="str">
        <f>"([Col. "&amp;R75&amp;", Line "&amp;B96&amp;" + Line "&amp;B100&amp;"] /2)"</f>
        <v>([Col. (M), Line 63 + Line 66] /2)</v>
      </c>
      <c r="R102" s="1141">
        <f>(R96+R100)/2</f>
        <v>-153276752.26154584</v>
      </c>
    </row>
    <row r="103" spans="2:19">
      <c r="B103" s="1131">
        <f>B102+1</f>
        <v>68</v>
      </c>
      <c r="D103" s="1150" t="s">
        <v>1154</v>
      </c>
      <c r="E103" s="1150"/>
      <c r="F103" s="1150"/>
      <c r="G103" s="1150"/>
      <c r="H103" s="1151"/>
      <c r="I103" s="1151"/>
      <c r="J103" s="1144" t="str">
        <f>"(Col. "&amp;L75&amp;", Line "&amp;B91&amp;" )"</f>
        <v>(Col. (H), Line 59 )</v>
      </c>
      <c r="K103" s="1152"/>
      <c r="L103" s="1141">
        <f>L91</f>
        <v>-87809794.795420706</v>
      </c>
      <c r="M103" s="1151"/>
      <c r="N103" s="1144" t="str">
        <f>"(Col. "&amp;R75&amp;", Line "&amp;B91&amp;" )"</f>
        <v>(Col. (M), Line 59 )</v>
      </c>
      <c r="R103" s="1141">
        <f>R91</f>
        <v>-88053945.731967032</v>
      </c>
    </row>
    <row r="104" spans="2:19" ht="13.5" thickBot="1">
      <c r="B104" s="1131">
        <f>B103+1</f>
        <v>69</v>
      </c>
      <c r="D104" s="1158" t="s">
        <v>1587</v>
      </c>
      <c r="E104" s="1150"/>
      <c r="F104" s="1150"/>
      <c r="G104" s="1150"/>
      <c r="H104" s="1151"/>
      <c r="I104" s="1151"/>
      <c r="J104" s="1144" t="str">
        <f>"(Col. "&amp;L75&amp;", Line "&amp;B102&amp;" + Line "&amp;B103&amp;")"</f>
        <v>(Col. (H), Line 67 + Line 68)</v>
      </c>
      <c r="K104" s="1152"/>
      <c r="L104" s="1159">
        <f>L102+L103</f>
        <v>-241899261.38521749</v>
      </c>
      <c r="M104" s="1151"/>
      <c r="N104" s="1144" t="str">
        <f>"(Col. "&amp;R75&amp;", Line "&amp;B102&amp;" + Line "&amp;B103&amp;")"</f>
        <v>(Col. (M), Line 67 + Line 68)</v>
      </c>
      <c r="R104" s="1159">
        <f>R102+R103</f>
        <v>-241330697.99351287</v>
      </c>
    </row>
    <row r="105" spans="2:19" ht="13">
      <c r="D105" s="1128"/>
    </row>
    <row r="106" spans="2:19" ht="13">
      <c r="D106" s="1128" t="s">
        <v>1077</v>
      </c>
      <c r="J106" s="1831"/>
      <c r="K106" s="1831"/>
      <c r="L106" s="1831"/>
      <c r="N106" s="1831"/>
      <c r="O106" s="1831"/>
      <c r="P106" s="1831"/>
      <c r="Q106" s="1831"/>
      <c r="R106" s="1831"/>
    </row>
    <row r="107" spans="2:19" ht="13">
      <c r="D107" s="1832" t="s">
        <v>1065</v>
      </c>
      <c r="E107" s="1833"/>
      <c r="F107" s="1833"/>
      <c r="G107" s="1833"/>
      <c r="H107" s="1834"/>
      <c r="I107" s="1132"/>
      <c r="J107" s="1835" t="s">
        <v>1563</v>
      </c>
      <c r="K107" s="1836"/>
      <c r="L107" s="1837"/>
      <c r="M107" s="1132"/>
      <c r="N107" s="1835" t="s">
        <v>1564</v>
      </c>
      <c r="O107" s="1836"/>
      <c r="P107" s="1836"/>
      <c r="Q107" s="1836"/>
      <c r="R107" s="1837"/>
      <c r="S107" s="1132"/>
    </row>
    <row r="108" spans="2:19" ht="13">
      <c r="D108" s="1133" t="s">
        <v>216</v>
      </c>
      <c r="E108" s="1133" t="s">
        <v>217</v>
      </c>
      <c r="F108" s="1133" t="s">
        <v>1565</v>
      </c>
      <c r="G108" s="1133" t="s">
        <v>1566</v>
      </c>
      <c r="H108" s="1133" t="s">
        <v>1567</v>
      </c>
      <c r="I108" s="1132"/>
      <c r="J108" s="1133" t="s">
        <v>1568</v>
      </c>
      <c r="K108" s="1133" t="s">
        <v>1569</v>
      </c>
      <c r="L108" s="1133" t="s">
        <v>1570</v>
      </c>
      <c r="M108" s="1132"/>
      <c r="N108" s="1133" t="s">
        <v>1571</v>
      </c>
      <c r="O108" s="1133" t="s">
        <v>1572</v>
      </c>
      <c r="P108" s="1133" t="s">
        <v>1573</v>
      </c>
      <c r="Q108" s="1133" t="s">
        <v>1574</v>
      </c>
      <c r="R108" s="1133" t="s">
        <v>1575</v>
      </c>
      <c r="S108" s="1132"/>
    </row>
    <row r="109" spans="2:19" ht="50">
      <c r="B109" s="1134" t="s">
        <v>1576</v>
      </c>
      <c r="D109" s="1135" t="s">
        <v>211</v>
      </c>
      <c r="E109" s="1135" t="s">
        <v>1066</v>
      </c>
      <c r="F109" s="1135" t="s">
        <v>1067</v>
      </c>
      <c r="G109" s="1135" t="s">
        <v>1068</v>
      </c>
      <c r="H109" s="1135" t="s">
        <v>1577</v>
      </c>
      <c r="I109" s="1361"/>
      <c r="J109" s="1135" t="s">
        <v>1069</v>
      </c>
      <c r="K109" s="1135" t="s">
        <v>1578</v>
      </c>
      <c r="L109" s="1135" t="s">
        <v>1579</v>
      </c>
      <c r="M109" s="1361"/>
      <c r="N109" s="1135" t="s">
        <v>1158</v>
      </c>
      <c r="O109" s="1135" t="s">
        <v>1580</v>
      </c>
      <c r="P109" s="1135" t="s">
        <v>1581</v>
      </c>
      <c r="Q109" s="1135" t="s">
        <v>1582</v>
      </c>
      <c r="R109" s="1135" t="s">
        <v>1583</v>
      </c>
      <c r="S109" s="1361"/>
    </row>
    <row r="110" spans="2:19">
      <c r="E110" s="1361"/>
      <c r="F110" s="1361"/>
      <c r="G110" s="1361"/>
      <c r="H110" s="1361"/>
      <c r="I110" s="1361"/>
      <c r="J110" s="1361"/>
      <c r="K110" s="1361"/>
      <c r="L110" s="1361"/>
      <c r="M110" s="1361"/>
      <c r="N110" s="1361"/>
      <c r="O110" s="1361"/>
      <c r="P110" s="1361"/>
      <c r="Q110" s="1361"/>
      <c r="R110" s="1361"/>
      <c r="S110" s="1361"/>
    </row>
    <row r="111" spans="2:19">
      <c r="B111" s="1131">
        <f>B104+1</f>
        <v>70</v>
      </c>
      <c r="D111" s="945" t="s">
        <v>1157</v>
      </c>
      <c r="E111" s="1361"/>
      <c r="F111" s="1361"/>
      <c r="G111" s="1361"/>
      <c r="H111" s="1361"/>
      <c r="I111" s="1361"/>
      <c r="J111" s="1136" t="str">
        <f>$J$12</f>
        <v>12/31/2021 (Actual)</v>
      </c>
      <c r="K111" s="1361"/>
      <c r="L111" s="1136">
        <v>0</v>
      </c>
      <c r="M111" s="1361"/>
      <c r="N111" s="1136" t="str">
        <f>$N$12</f>
        <v>12/31/2021 (Actual)</v>
      </c>
      <c r="O111" s="1361"/>
      <c r="P111" s="1361"/>
      <c r="Q111" s="1361"/>
      <c r="R111" s="1136">
        <v>0</v>
      </c>
      <c r="S111" s="1361"/>
    </row>
    <row r="112" spans="2:19">
      <c r="E112" s="1361"/>
      <c r="F112" s="1361"/>
      <c r="G112" s="1361"/>
      <c r="H112" s="1361"/>
      <c r="I112" s="1361"/>
      <c r="J112" s="1361"/>
      <c r="K112" s="1361"/>
      <c r="L112" s="1361"/>
      <c r="M112" s="1361"/>
      <c r="N112" s="1361"/>
      <c r="O112" s="1361"/>
      <c r="P112" s="1361"/>
      <c r="Q112" s="1361"/>
      <c r="R112" s="1361"/>
      <c r="S112" s="1361"/>
    </row>
    <row r="113" spans="2:19">
      <c r="B113" s="1131">
        <f>B111+1</f>
        <v>71</v>
      </c>
      <c r="D113" s="1137" t="s">
        <v>634</v>
      </c>
      <c r="E113" s="1136">
        <v>31</v>
      </c>
      <c r="F113" s="1138">
        <v>0</v>
      </c>
      <c r="G113" s="1138">
        <v>214</v>
      </c>
      <c r="H113" s="1139">
        <f t="shared" ref="H113:H124" si="32">IF(F113=0,0.5,F113/G113)</f>
        <v>0.5</v>
      </c>
      <c r="I113" s="1140"/>
      <c r="J113" s="1136">
        <v>0</v>
      </c>
      <c r="K113" s="1141">
        <f t="shared" ref="K113:K124" si="33">+J113*H113</f>
        <v>0</v>
      </c>
      <c r="L113" s="1141">
        <f>+K113</f>
        <v>0</v>
      </c>
      <c r="M113" s="1140"/>
      <c r="N113" s="1136">
        <v>0</v>
      </c>
      <c r="O113" s="1141">
        <f>IF($D$177="True-Up Adjustment",N113-J113,0)</f>
        <v>0</v>
      </c>
      <c r="P113" s="1141">
        <f>IF($D$177="True-Up Adjustment",IF(AND(J113&gt;=0,N113&gt;=0),IF(O113&gt;=0,K113+O113,N113/J113*K113),IF(AND(J113&lt;0,N113&lt;0),IF(O113&lt;0,K113+O113,N113/J113*K113),0)),0)</f>
        <v>0</v>
      </c>
      <c r="Q113" s="1141">
        <f t="shared" ref="Q113:Q124" si="34">IF(AND(J113&gt;=0,N113&lt;0),N113,IF(AND(J113&lt;0,N113&gt;=0),N113,0))</f>
        <v>0</v>
      </c>
      <c r="R113" s="1141">
        <f>+P113+Q113</f>
        <v>0</v>
      </c>
      <c r="S113" s="1140"/>
    </row>
    <row r="114" spans="2:19">
      <c r="B114" s="1131">
        <f t="shared" ref="B114:B125" si="35">+B113+1</f>
        <v>72</v>
      </c>
      <c r="D114" s="1137" t="s">
        <v>635</v>
      </c>
      <c r="E114" s="1136">
        <v>28</v>
      </c>
      <c r="F114" s="1138">
        <v>0</v>
      </c>
      <c r="G114" s="1138">
        <f t="shared" ref="G114:G124" si="36">G113</f>
        <v>214</v>
      </c>
      <c r="H114" s="1139">
        <f t="shared" si="32"/>
        <v>0.5</v>
      </c>
      <c r="I114" s="1140"/>
      <c r="J114" s="1136">
        <v>0</v>
      </c>
      <c r="K114" s="1141">
        <f t="shared" si="33"/>
        <v>0</v>
      </c>
      <c r="L114" s="1141">
        <f t="shared" ref="L114:L124" si="37">+K114+L113</f>
        <v>0</v>
      </c>
      <c r="M114" s="1140"/>
      <c r="N114" s="1136">
        <v>0</v>
      </c>
      <c r="O114" s="1141">
        <f t="shared" ref="O114:O124" si="38">IF($D$177="True-Up Adjustment",N114-J114,0)</f>
        <v>0</v>
      </c>
      <c r="P114" s="1141">
        <f t="shared" ref="P114:P124" si="39">IF($D$177="True-Up Adjustment",IF(AND(J114&gt;=0,N114&gt;=0),IF(O114&gt;=0,K114+O114,N114/J114*K114),IF(AND(J114&lt;0,N114&lt;0),IF(O114&lt;0,K114+O114,N114/J114*K114),0)),0)</f>
        <v>0</v>
      </c>
      <c r="Q114" s="1141">
        <f t="shared" si="34"/>
        <v>0</v>
      </c>
      <c r="R114" s="1141">
        <f t="shared" ref="R114:R124" si="40">R113+P114+Q114</f>
        <v>0</v>
      </c>
      <c r="S114" s="1140"/>
    </row>
    <row r="115" spans="2:19">
      <c r="B115" s="1131">
        <f t="shared" si="35"/>
        <v>73</v>
      </c>
      <c r="D115" s="1137" t="s">
        <v>662</v>
      </c>
      <c r="E115" s="1136">
        <v>31</v>
      </c>
      <c r="F115" s="1138">
        <v>0</v>
      </c>
      <c r="G115" s="1138">
        <f t="shared" si="36"/>
        <v>214</v>
      </c>
      <c r="H115" s="1139">
        <f t="shared" si="32"/>
        <v>0.5</v>
      </c>
      <c r="I115" s="1140"/>
      <c r="J115" s="1136">
        <v>0</v>
      </c>
      <c r="K115" s="1141">
        <f t="shared" si="33"/>
        <v>0</v>
      </c>
      <c r="L115" s="1141">
        <f t="shared" si="37"/>
        <v>0</v>
      </c>
      <c r="M115" s="1140"/>
      <c r="N115" s="1136">
        <v>0</v>
      </c>
      <c r="O115" s="1141">
        <f t="shared" si="38"/>
        <v>0</v>
      </c>
      <c r="P115" s="1141">
        <f t="shared" si="39"/>
        <v>0</v>
      </c>
      <c r="Q115" s="1141">
        <f t="shared" si="34"/>
        <v>0</v>
      </c>
      <c r="R115" s="1141">
        <f t="shared" si="40"/>
        <v>0</v>
      </c>
      <c r="S115" s="1140"/>
    </row>
    <row r="116" spans="2:19">
      <c r="B116" s="1131">
        <f t="shared" si="35"/>
        <v>74</v>
      </c>
      <c r="D116" s="1137" t="s">
        <v>213</v>
      </c>
      <c r="E116" s="1136">
        <v>30</v>
      </c>
      <c r="F116" s="1138">
        <v>0</v>
      </c>
      <c r="G116" s="1138">
        <f t="shared" si="36"/>
        <v>214</v>
      </c>
      <c r="H116" s="1139">
        <f t="shared" si="32"/>
        <v>0.5</v>
      </c>
      <c r="I116" s="1140"/>
      <c r="J116" s="1136">
        <v>0</v>
      </c>
      <c r="K116" s="1141">
        <f t="shared" si="33"/>
        <v>0</v>
      </c>
      <c r="L116" s="1141">
        <f t="shared" si="37"/>
        <v>0</v>
      </c>
      <c r="M116" s="1140"/>
      <c r="N116" s="1136">
        <v>0</v>
      </c>
      <c r="O116" s="1141">
        <f t="shared" si="38"/>
        <v>0</v>
      </c>
      <c r="P116" s="1141">
        <f t="shared" si="39"/>
        <v>0</v>
      </c>
      <c r="Q116" s="1141">
        <f t="shared" si="34"/>
        <v>0</v>
      </c>
      <c r="R116" s="1141">
        <f t="shared" si="40"/>
        <v>0</v>
      </c>
      <c r="S116" s="1140"/>
    </row>
    <row r="117" spans="2:19">
      <c r="B117" s="1131">
        <f t="shared" si="35"/>
        <v>75</v>
      </c>
      <c r="D117" s="1137" t="s">
        <v>214</v>
      </c>
      <c r="E117" s="1136">
        <v>31</v>
      </c>
      <c r="F117" s="1138">
        <v>0</v>
      </c>
      <c r="G117" s="1138">
        <f t="shared" si="36"/>
        <v>214</v>
      </c>
      <c r="H117" s="1139">
        <f t="shared" si="32"/>
        <v>0.5</v>
      </c>
      <c r="I117" s="1140"/>
      <c r="J117" s="1136">
        <v>0</v>
      </c>
      <c r="K117" s="1141">
        <f t="shared" si="33"/>
        <v>0</v>
      </c>
      <c r="L117" s="1141">
        <f t="shared" si="37"/>
        <v>0</v>
      </c>
      <c r="M117" s="1140"/>
      <c r="N117" s="1136">
        <v>0</v>
      </c>
      <c r="O117" s="1141">
        <f t="shared" si="38"/>
        <v>0</v>
      </c>
      <c r="P117" s="1141">
        <f t="shared" si="39"/>
        <v>0</v>
      </c>
      <c r="Q117" s="1141">
        <f t="shared" si="34"/>
        <v>0</v>
      </c>
      <c r="R117" s="1141">
        <f t="shared" si="40"/>
        <v>0</v>
      </c>
      <c r="S117" s="1140"/>
    </row>
    <row r="118" spans="2:19">
      <c r="B118" s="1131">
        <f t="shared" si="35"/>
        <v>76</v>
      </c>
      <c r="D118" s="1137" t="s">
        <v>215</v>
      </c>
      <c r="E118" s="1136">
        <v>30</v>
      </c>
      <c r="F118" s="1138">
        <f t="shared" ref="F118:F123" si="41">E119+F119</f>
        <v>185</v>
      </c>
      <c r="G118" s="1138">
        <f t="shared" si="36"/>
        <v>214</v>
      </c>
      <c r="H118" s="1139">
        <f t="shared" si="32"/>
        <v>0.86448598130841126</v>
      </c>
      <c r="I118" s="1140"/>
      <c r="J118" s="1136">
        <v>0</v>
      </c>
      <c r="K118" s="1141">
        <f t="shared" si="33"/>
        <v>0</v>
      </c>
      <c r="L118" s="1141">
        <f t="shared" si="37"/>
        <v>0</v>
      </c>
      <c r="M118" s="1140"/>
      <c r="N118" s="1136">
        <v>0</v>
      </c>
      <c r="O118" s="1141">
        <f t="shared" si="38"/>
        <v>0</v>
      </c>
      <c r="P118" s="1141">
        <f t="shared" si="39"/>
        <v>0</v>
      </c>
      <c r="Q118" s="1141">
        <f t="shared" si="34"/>
        <v>0</v>
      </c>
      <c r="R118" s="1141">
        <f t="shared" si="40"/>
        <v>0</v>
      </c>
      <c r="S118" s="1140"/>
    </row>
    <row r="119" spans="2:19">
      <c r="B119" s="1131">
        <f t="shared" si="35"/>
        <v>77</v>
      </c>
      <c r="D119" s="1137" t="s">
        <v>637</v>
      </c>
      <c r="E119" s="1136">
        <v>31</v>
      </c>
      <c r="F119" s="1138">
        <f t="shared" si="41"/>
        <v>154</v>
      </c>
      <c r="G119" s="1138">
        <f t="shared" si="36"/>
        <v>214</v>
      </c>
      <c r="H119" s="1139">
        <f t="shared" si="32"/>
        <v>0.71962616822429903</v>
      </c>
      <c r="I119" s="1140"/>
      <c r="J119" s="1136">
        <v>0</v>
      </c>
      <c r="K119" s="1141">
        <f t="shared" si="33"/>
        <v>0</v>
      </c>
      <c r="L119" s="1141">
        <f t="shared" si="37"/>
        <v>0</v>
      </c>
      <c r="M119" s="1140"/>
      <c r="N119" s="1136">
        <v>0</v>
      </c>
      <c r="O119" s="1141">
        <f t="shared" si="38"/>
        <v>0</v>
      </c>
      <c r="P119" s="1141">
        <f t="shared" si="39"/>
        <v>0</v>
      </c>
      <c r="Q119" s="1141">
        <f t="shared" si="34"/>
        <v>0</v>
      </c>
      <c r="R119" s="1141">
        <f t="shared" si="40"/>
        <v>0</v>
      </c>
      <c r="S119" s="1140"/>
    </row>
    <row r="120" spans="2:19">
      <c r="B120" s="1131">
        <f t="shared" si="35"/>
        <v>78</v>
      </c>
      <c r="D120" s="1137" t="s">
        <v>663</v>
      </c>
      <c r="E120" s="1136">
        <v>31</v>
      </c>
      <c r="F120" s="1138">
        <f t="shared" si="41"/>
        <v>123</v>
      </c>
      <c r="G120" s="1138">
        <f t="shared" si="36"/>
        <v>214</v>
      </c>
      <c r="H120" s="1139">
        <f t="shared" si="32"/>
        <v>0.57476635514018692</v>
      </c>
      <c r="I120" s="1140"/>
      <c r="J120" s="1136">
        <v>0</v>
      </c>
      <c r="K120" s="1141">
        <f t="shared" si="33"/>
        <v>0</v>
      </c>
      <c r="L120" s="1141">
        <f t="shared" si="37"/>
        <v>0</v>
      </c>
      <c r="M120" s="1140"/>
      <c r="N120" s="1136">
        <v>0</v>
      </c>
      <c r="O120" s="1141">
        <f t="shared" si="38"/>
        <v>0</v>
      </c>
      <c r="P120" s="1141">
        <f t="shared" si="39"/>
        <v>0</v>
      </c>
      <c r="Q120" s="1141">
        <f t="shared" si="34"/>
        <v>0</v>
      </c>
      <c r="R120" s="1141">
        <f t="shared" si="40"/>
        <v>0</v>
      </c>
      <c r="S120" s="1140"/>
    </row>
    <row r="121" spans="2:19">
      <c r="B121" s="1131">
        <f t="shared" si="35"/>
        <v>79</v>
      </c>
      <c r="D121" s="1137" t="s">
        <v>639</v>
      </c>
      <c r="E121" s="1136">
        <v>30</v>
      </c>
      <c r="F121" s="1138">
        <f t="shared" si="41"/>
        <v>93</v>
      </c>
      <c r="G121" s="1138">
        <f t="shared" si="36"/>
        <v>214</v>
      </c>
      <c r="H121" s="1139">
        <f t="shared" si="32"/>
        <v>0.43457943925233644</v>
      </c>
      <c r="I121" s="1140"/>
      <c r="J121" s="1136">
        <v>0</v>
      </c>
      <c r="K121" s="1141">
        <f t="shared" si="33"/>
        <v>0</v>
      </c>
      <c r="L121" s="1141">
        <f t="shared" si="37"/>
        <v>0</v>
      </c>
      <c r="M121" s="1140"/>
      <c r="N121" s="1136">
        <v>0</v>
      </c>
      <c r="O121" s="1141">
        <f t="shared" si="38"/>
        <v>0</v>
      </c>
      <c r="P121" s="1141">
        <f t="shared" si="39"/>
        <v>0</v>
      </c>
      <c r="Q121" s="1141">
        <f t="shared" si="34"/>
        <v>0</v>
      </c>
      <c r="R121" s="1141">
        <f t="shared" si="40"/>
        <v>0</v>
      </c>
      <c r="S121" s="1140"/>
    </row>
    <row r="122" spans="2:19">
      <c r="B122" s="1131">
        <f t="shared" si="35"/>
        <v>80</v>
      </c>
      <c r="D122" s="1137" t="s">
        <v>640</v>
      </c>
      <c r="E122" s="1136">
        <v>31</v>
      </c>
      <c r="F122" s="1138">
        <f t="shared" si="41"/>
        <v>62</v>
      </c>
      <c r="G122" s="1138">
        <f t="shared" si="36"/>
        <v>214</v>
      </c>
      <c r="H122" s="1139">
        <f t="shared" si="32"/>
        <v>0.28971962616822428</v>
      </c>
      <c r="I122" s="1140"/>
      <c r="J122" s="1136">
        <v>0</v>
      </c>
      <c r="K122" s="1141">
        <f t="shared" si="33"/>
        <v>0</v>
      </c>
      <c r="L122" s="1141">
        <f t="shared" si="37"/>
        <v>0</v>
      </c>
      <c r="M122" s="1140"/>
      <c r="N122" s="1136">
        <v>0</v>
      </c>
      <c r="O122" s="1141">
        <f t="shared" si="38"/>
        <v>0</v>
      </c>
      <c r="P122" s="1141">
        <f t="shared" si="39"/>
        <v>0</v>
      </c>
      <c r="Q122" s="1141">
        <f t="shared" si="34"/>
        <v>0</v>
      </c>
      <c r="R122" s="1141">
        <f t="shared" si="40"/>
        <v>0</v>
      </c>
      <c r="S122" s="1140"/>
    </row>
    <row r="123" spans="2:19">
      <c r="B123" s="1131">
        <f t="shared" si="35"/>
        <v>81</v>
      </c>
      <c r="D123" s="1137" t="s">
        <v>641</v>
      </c>
      <c r="E123" s="1136">
        <v>30</v>
      </c>
      <c r="F123" s="1138">
        <f t="shared" si="41"/>
        <v>32</v>
      </c>
      <c r="G123" s="1138">
        <f t="shared" si="36"/>
        <v>214</v>
      </c>
      <c r="H123" s="1139">
        <f t="shared" si="32"/>
        <v>0.14953271028037382</v>
      </c>
      <c r="I123" s="1140"/>
      <c r="J123" s="1136">
        <v>0</v>
      </c>
      <c r="K123" s="1141">
        <f t="shared" si="33"/>
        <v>0</v>
      </c>
      <c r="L123" s="1141">
        <f t="shared" si="37"/>
        <v>0</v>
      </c>
      <c r="M123" s="1140"/>
      <c r="N123" s="1136">
        <v>0</v>
      </c>
      <c r="O123" s="1141">
        <f t="shared" si="38"/>
        <v>0</v>
      </c>
      <c r="P123" s="1141">
        <f t="shared" si="39"/>
        <v>0</v>
      </c>
      <c r="Q123" s="1141">
        <f t="shared" si="34"/>
        <v>0</v>
      </c>
      <c r="R123" s="1141">
        <f t="shared" si="40"/>
        <v>0</v>
      </c>
      <c r="S123" s="1140"/>
    </row>
    <row r="124" spans="2:19">
      <c r="B124" s="1131">
        <f t="shared" si="35"/>
        <v>82</v>
      </c>
      <c r="D124" s="1142" t="s">
        <v>895</v>
      </c>
      <c r="E124" s="1136">
        <v>31</v>
      </c>
      <c r="F124" s="1143">
        <v>1</v>
      </c>
      <c r="G124" s="1138">
        <f t="shared" si="36"/>
        <v>214</v>
      </c>
      <c r="H124" s="1139">
        <f t="shared" si="32"/>
        <v>4.6728971962616819E-3</v>
      </c>
      <c r="I124" s="1140"/>
      <c r="J124" s="1136">
        <v>0</v>
      </c>
      <c r="K124" s="1141">
        <f t="shared" si="33"/>
        <v>0</v>
      </c>
      <c r="L124" s="1141">
        <f t="shared" si="37"/>
        <v>0</v>
      </c>
      <c r="M124" s="1140"/>
      <c r="N124" s="1136">
        <v>0</v>
      </c>
      <c r="O124" s="1141">
        <f t="shared" si="38"/>
        <v>0</v>
      </c>
      <c r="P124" s="1141">
        <f t="shared" si="39"/>
        <v>0</v>
      </c>
      <c r="Q124" s="1141">
        <f t="shared" si="34"/>
        <v>0</v>
      </c>
      <c r="R124" s="1141">
        <f t="shared" si="40"/>
        <v>0</v>
      </c>
      <c r="S124" s="1140"/>
    </row>
    <row r="125" spans="2:19">
      <c r="B125" s="1131">
        <f t="shared" si="35"/>
        <v>83</v>
      </c>
      <c r="D125" s="1144" t="str">
        <f>"Total (Sum of Lines "&amp;B113&amp;" - "&amp;B124&amp;")"</f>
        <v>Total (Sum of Lines 71 - 82)</v>
      </c>
      <c r="E125" s="1145">
        <f>SUM(E113:E124)</f>
        <v>365</v>
      </c>
      <c r="F125" s="1146"/>
      <c r="G125" s="1146"/>
      <c r="H125" s="1147"/>
      <c r="I125" s="1148"/>
      <c r="J125" s="1145">
        <f>SUM(J113:J124)</f>
        <v>0</v>
      </c>
      <c r="K125" s="1145">
        <f>SUM(K113:K124)</f>
        <v>0</v>
      </c>
      <c r="L125" s="1149"/>
      <c r="M125" s="1148"/>
      <c r="N125" s="1145">
        <f>SUM(N113:N124)</f>
        <v>0</v>
      </c>
      <c r="O125" s="1145">
        <f>SUM(O113:O124)</f>
        <v>0</v>
      </c>
      <c r="P125" s="1145">
        <f>SUM(P113:P124)</f>
        <v>0</v>
      </c>
      <c r="Q125" s="1145">
        <f>SUM(Q113:Q124)</f>
        <v>0</v>
      </c>
      <c r="R125" s="1149"/>
      <c r="S125" s="1148"/>
    </row>
    <row r="126" spans="2:19">
      <c r="D126" s="1150"/>
      <c r="E126" s="1150"/>
      <c r="F126" s="1150"/>
      <c r="G126" s="1150"/>
      <c r="H126" s="1151"/>
      <c r="I126" s="1151"/>
      <c r="K126" s="1152"/>
      <c r="L126" s="1151"/>
      <c r="M126" s="1151"/>
      <c r="N126" s="1162"/>
      <c r="O126" s="1152"/>
      <c r="P126" s="1152"/>
      <c r="Q126" s="1152"/>
      <c r="R126" s="1151"/>
      <c r="S126" s="1151"/>
    </row>
    <row r="127" spans="2:19">
      <c r="B127" s="1131">
        <f>B125+1</f>
        <v>84</v>
      </c>
      <c r="D127" s="945" t="s">
        <v>1070</v>
      </c>
      <c r="I127" s="1151"/>
      <c r="J127" s="1136" t="str">
        <f>$J$12</f>
        <v>12/31/2021 (Actual)</v>
      </c>
      <c r="L127" s="1136">
        <f>'1C - ADIT BOY'!$E$14</f>
        <v>-11003205.099748766</v>
      </c>
      <c r="M127" s="1153"/>
      <c r="N127" s="1136" t="str">
        <f>$N$12</f>
        <v>12/31/2021 (Actual)</v>
      </c>
      <c r="R127" s="1136">
        <f>'1C - ADIT BOY'!$E$14</f>
        <v>-11003205.099748766</v>
      </c>
    </row>
    <row r="128" spans="2:19">
      <c r="B128" s="1131">
        <f>B127+1</f>
        <v>85</v>
      </c>
      <c r="D128" s="945" t="s">
        <v>1074</v>
      </c>
      <c r="I128" s="1151"/>
      <c r="J128" s="1154" t="s">
        <v>757</v>
      </c>
      <c r="L128" s="1155">
        <v>0</v>
      </c>
      <c r="M128" s="1156"/>
      <c r="N128" s="1154" t="s">
        <v>757</v>
      </c>
      <c r="R128" s="1155">
        <v>0</v>
      </c>
    </row>
    <row r="129" spans="2:19">
      <c r="B129" s="1131">
        <f>B128+1</f>
        <v>86</v>
      </c>
      <c r="D129" s="945" t="s">
        <v>1071</v>
      </c>
      <c r="I129" s="1151"/>
      <c r="J129" s="1144" t="str">
        <f>"(Col. "&amp;L108&amp;", Line "&amp;B127&amp;" + Line "&amp;B128&amp;")"</f>
        <v>(Col. (H), Line 84 + Line 85)</v>
      </c>
      <c r="L129" s="1157">
        <f>L127+L128</f>
        <v>-11003205.099748766</v>
      </c>
      <c r="M129" s="1151"/>
      <c r="N129" s="1144" t="str">
        <f>"(Col. "&amp;R108&amp;", Line "&amp;B127&amp;" + Line "&amp;B128&amp;")"</f>
        <v>(Col. (M), Line 84 + Line 85)</v>
      </c>
      <c r="R129" s="1157">
        <f>R127+R128</f>
        <v>-11003205.099748766</v>
      </c>
    </row>
    <row r="130" spans="2:19">
      <c r="I130" s="1151"/>
      <c r="L130" s="1157"/>
      <c r="M130" s="1151"/>
      <c r="R130" s="1157"/>
    </row>
    <row r="131" spans="2:19">
      <c r="B131" s="1131">
        <f>B129+1</f>
        <v>87</v>
      </c>
      <c r="D131" s="945" t="s">
        <v>1156</v>
      </c>
      <c r="I131" s="1151"/>
      <c r="J131" s="1136" t="str">
        <f>$J$32</f>
        <v>2022 Projected</v>
      </c>
      <c r="L131" s="1136">
        <v>-10826781.654689319</v>
      </c>
      <c r="M131" s="1153"/>
      <c r="N131" s="1136" t="str">
        <f>$N$32</f>
        <v>12/31/2022 (Actual)</v>
      </c>
      <c r="R131" s="1136">
        <f>'1B - ADIT EOY'!$E$14</f>
        <v>-12848372.614011137</v>
      </c>
    </row>
    <row r="132" spans="2:19">
      <c r="B132" s="1131">
        <f>B131+1</f>
        <v>88</v>
      </c>
      <c r="D132" s="945" t="s">
        <v>1075</v>
      </c>
      <c r="I132" s="1151"/>
      <c r="J132" s="1154" t="s">
        <v>757</v>
      </c>
      <c r="L132" s="1155">
        <v>0</v>
      </c>
      <c r="M132" s="1151"/>
      <c r="N132" s="1154" t="s">
        <v>757</v>
      </c>
      <c r="R132" s="1155">
        <v>0</v>
      </c>
    </row>
    <row r="133" spans="2:19">
      <c r="B133" s="1131">
        <f>B132+1</f>
        <v>89</v>
      </c>
      <c r="D133" s="945" t="s">
        <v>1076</v>
      </c>
      <c r="I133" s="1151"/>
      <c r="J133" s="1144" t="str">
        <f>"(Col. "&amp;L108&amp;", Line "&amp;B131&amp;" + Line "&amp;B132&amp;")"</f>
        <v>(Col. (H), Line 87 + Line 88)</v>
      </c>
      <c r="L133" s="1157">
        <f>L131+L132</f>
        <v>-10826781.654689319</v>
      </c>
      <c r="M133" s="1151"/>
      <c r="N133" s="1144" t="str">
        <f>"(Col. "&amp;R108&amp;", Line "&amp;B131&amp;" + Line "&amp;B132&amp;")"</f>
        <v>(Col. (M), Line 87 + Line 88)</v>
      </c>
      <c r="R133" s="1157">
        <f>R131+R132</f>
        <v>-12848372.614011137</v>
      </c>
    </row>
    <row r="134" spans="2:19">
      <c r="I134" s="1151"/>
      <c r="L134" s="1157"/>
      <c r="M134" s="1151"/>
      <c r="R134" s="1157"/>
    </row>
    <row r="135" spans="2:19">
      <c r="B135" s="1131">
        <f>B133+1</f>
        <v>90</v>
      </c>
      <c r="D135" s="945" t="s">
        <v>1155</v>
      </c>
      <c r="I135" s="1151"/>
      <c r="J135" s="1144" t="str">
        <f>"([Col. "&amp;L108&amp;", Line "&amp;B129&amp;" + Line "&amp;B133&amp;"] /2)"</f>
        <v>([Col. (H), Line 86 + Line 89] /2)</v>
      </c>
      <c r="L135" s="1141">
        <f>(L129+L133)/2</f>
        <v>-10914993.377219044</v>
      </c>
      <c r="M135" s="1151"/>
      <c r="N135" s="1144" t="str">
        <f>"([Col. "&amp;R108&amp;", Line "&amp;B129&amp;" + Line "&amp;B133&amp;"] /2)"</f>
        <v>([Col. (M), Line 86 + Line 89] /2)</v>
      </c>
      <c r="R135" s="1141">
        <f>(R129+R133)/2</f>
        <v>-11925788.856879951</v>
      </c>
    </row>
    <row r="136" spans="2:19">
      <c r="B136" s="1131">
        <f>B135+1</f>
        <v>91</v>
      </c>
      <c r="D136" s="1150" t="s">
        <v>1154</v>
      </c>
      <c r="E136" s="1150"/>
      <c r="F136" s="1150"/>
      <c r="G136" s="1150"/>
      <c r="H136" s="1151"/>
      <c r="I136" s="1151"/>
      <c r="J136" s="1144" t="str">
        <f>"(Col. "&amp;L108&amp;", Line "&amp;B124&amp;" )"</f>
        <v>(Col. (H), Line 82 )</v>
      </c>
      <c r="K136" s="1152"/>
      <c r="L136" s="1141">
        <f>L124</f>
        <v>0</v>
      </c>
      <c r="M136" s="1151"/>
      <c r="N136" s="1144" t="str">
        <f>"(Col. "&amp;R108&amp;", Line "&amp;B124&amp;" )"</f>
        <v>(Col. (M), Line 82 )</v>
      </c>
      <c r="R136" s="1141">
        <f>R124</f>
        <v>0</v>
      </c>
    </row>
    <row r="137" spans="2:19" ht="13.5" thickBot="1">
      <c r="B137" s="1131">
        <f>B136+1</f>
        <v>92</v>
      </c>
      <c r="D137" s="1158" t="s">
        <v>1588</v>
      </c>
      <c r="E137" s="1150"/>
      <c r="F137" s="1150"/>
      <c r="G137" s="1150"/>
      <c r="H137" s="1151"/>
      <c r="I137" s="1151"/>
      <c r="J137" s="1144" t="str">
        <f>"(Col. "&amp;L108&amp;", Line "&amp;B135&amp;" + Line "&amp;B136&amp;")"</f>
        <v>(Col. (H), Line 90 + Line 91)</v>
      </c>
      <c r="K137" s="1152"/>
      <c r="L137" s="1159">
        <f>L135+L136</f>
        <v>-10914993.377219044</v>
      </c>
      <c r="M137" s="1151"/>
      <c r="N137" s="1144" t="str">
        <f>"(Col. "&amp;R108&amp;", Line "&amp;B135&amp;" + Line "&amp;B136&amp;")"</f>
        <v>(Col. (M), Line 90 + Line 91)</v>
      </c>
      <c r="R137" s="1159">
        <f>R135+R136</f>
        <v>-11925788.856879951</v>
      </c>
    </row>
    <row r="138" spans="2:19">
      <c r="D138" s="1150"/>
      <c r="E138" s="1150"/>
      <c r="F138" s="1150"/>
      <c r="G138" s="1150"/>
      <c r="H138" s="1151"/>
      <c r="I138" s="1151"/>
      <c r="K138" s="1152"/>
      <c r="L138" s="1151"/>
      <c r="M138" s="1151"/>
      <c r="O138" s="1152"/>
      <c r="P138" s="1152"/>
      <c r="Q138" s="1152"/>
      <c r="R138" s="1151"/>
      <c r="S138" s="1151"/>
    </row>
    <row r="139" spans="2:19" ht="13">
      <c r="D139" s="1128" t="s">
        <v>1589</v>
      </c>
      <c r="J139" s="1831"/>
      <c r="K139" s="1831"/>
      <c r="L139" s="1831"/>
      <c r="N139" s="1831"/>
      <c r="O139" s="1831"/>
      <c r="P139" s="1831"/>
      <c r="Q139" s="1831"/>
      <c r="R139" s="1831"/>
    </row>
    <row r="140" spans="2:19" ht="13">
      <c r="D140" s="1832" t="s">
        <v>1065</v>
      </c>
      <c r="E140" s="1833"/>
      <c r="F140" s="1833"/>
      <c r="G140" s="1833"/>
      <c r="H140" s="1834"/>
      <c r="I140" s="1132"/>
      <c r="J140" s="1835" t="s">
        <v>1590</v>
      </c>
      <c r="K140" s="1836"/>
      <c r="L140" s="1837"/>
      <c r="M140" s="1132"/>
      <c r="N140" s="1835" t="s">
        <v>1591</v>
      </c>
      <c r="O140" s="1836"/>
      <c r="P140" s="1836"/>
      <c r="Q140" s="1836"/>
      <c r="R140" s="1837"/>
      <c r="S140" s="1132"/>
    </row>
    <row r="141" spans="2:19" ht="13">
      <c r="D141" s="1133" t="s">
        <v>216</v>
      </c>
      <c r="E141" s="1133" t="s">
        <v>217</v>
      </c>
      <c r="F141" s="1133" t="s">
        <v>1565</v>
      </c>
      <c r="G141" s="1133" t="s">
        <v>1566</v>
      </c>
      <c r="H141" s="1133" t="s">
        <v>1567</v>
      </c>
      <c r="I141" s="1132"/>
      <c r="J141" s="1133" t="s">
        <v>1568</v>
      </c>
      <c r="K141" s="1133" t="s">
        <v>1569</v>
      </c>
      <c r="L141" s="1133" t="s">
        <v>1570</v>
      </c>
      <c r="M141" s="1132"/>
      <c r="N141" s="1133" t="s">
        <v>1571</v>
      </c>
      <c r="O141" s="1133" t="s">
        <v>1572</v>
      </c>
      <c r="P141" s="1133" t="s">
        <v>1573</v>
      </c>
      <c r="Q141" s="1133" t="s">
        <v>1574</v>
      </c>
      <c r="R141" s="1133" t="s">
        <v>1575</v>
      </c>
      <c r="S141" s="1132"/>
    </row>
    <row r="142" spans="2:19" ht="50">
      <c r="B142" s="1134" t="s">
        <v>1576</v>
      </c>
      <c r="D142" s="1135" t="s">
        <v>211</v>
      </c>
      <c r="E142" s="1135" t="s">
        <v>1066</v>
      </c>
      <c r="F142" s="1135" t="s">
        <v>1067</v>
      </c>
      <c r="G142" s="1135" t="s">
        <v>1068</v>
      </c>
      <c r="H142" s="1135" t="s">
        <v>1577</v>
      </c>
      <c r="I142" s="1361"/>
      <c r="J142" s="1135" t="s">
        <v>1069</v>
      </c>
      <c r="K142" s="1135" t="s">
        <v>1578</v>
      </c>
      <c r="L142" s="1135" t="s">
        <v>1579</v>
      </c>
      <c r="M142" s="1361"/>
      <c r="N142" s="1135" t="s">
        <v>1158</v>
      </c>
      <c r="O142" s="1135" t="s">
        <v>1580</v>
      </c>
      <c r="P142" s="1135" t="s">
        <v>1581</v>
      </c>
      <c r="Q142" s="1135" t="s">
        <v>1582</v>
      </c>
      <c r="R142" s="1135" t="s">
        <v>1583</v>
      </c>
      <c r="S142" s="1361"/>
    </row>
    <row r="143" spans="2:19">
      <c r="E143" s="1361"/>
      <c r="F143" s="1361"/>
      <c r="G143" s="1361"/>
      <c r="H143" s="1361"/>
      <c r="I143" s="1361"/>
      <c r="J143" s="1361"/>
      <c r="K143" s="1361"/>
      <c r="L143" s="1361"/>
      <c r="M143" s="1361"/>
      <c r="N143" s="1361"/>
      <c r="O143" s="1361"/>
      <c r="P143" s="1361"/>
      <c r="Q143" s="1361"/>
      <c r="R143" s="1361"/>
      <c r="S143" s="1361"/>
    </row>
    <row r="144" spans="2:19">
      <c r="B144" s="1131">
        <f>B137+1</f>
        <v>93</v>
      </c>
      <c r="D144" s="945" t="s">
        <v>1592</v>
      </c>
      <c r="E144" s="1361"/>
      <c r="F144" s="1361"/>
      <c r="G144" s="1361"/>
      <c r="H144" s="1361"/>
      <c r="I144" s="1361"/>
      <c r="J144" s="1136" t="str">
        <f>$J$12</f>
        <v>12/31/2021 (Actual)</v>
      </c>
      <c r="K144" s="1361"/>
      <c r="L144" s="1136">
        <v>0</v>
      </c>
      <c r="M144" s="1361"/>
      <c r="N144" s="1136" t="str">
        <f>$N$12</f>
        <v>12/31/2021 (Actual)</v>
      </c>
      <c r="O144" s="1361"/>
      <c r="P144" s="1361"/>
      <c r="Q144" s="1361"/>
      <c r="R144" s="1136">
        <v>0</v>
      </c>
      <c r="S144" s="1361"/>
    </row>
    <row r="145" spans="2:19">
      <c r="E145" s="1361"/>
      <c r="F145" s="1361"/>
      <c r="G145" s="1361"/>
      <c r="H145" s="1361"/>
      <c r="I145" s="1361"/>
      <c r="J145" s="1361"/>
      <c r="K145" s="1361"/>
      <c r="L145" s="1361"/>
      <c r="M145" s="1361"/>
      <c r="N145" s="1361"/>
      <c r="O145" s="1361"/>
      <c r="P145" s="1361"/>
      <c r="Q145" s="1361"/>
      <c r="R145" s="1361"/>
      <c r="S145" s="1361"/>
    </row>
    <row r="146" spans="2:19">
      <c r="B146" s="1131">
        <f>B144+1</f>
        <v>94</v>
      </c>
      <c r="D146" s="1137" t="s">
        <v>634</v>
      </c>
      <c r="E146" s="1136">
        <v>31</v>
      </c>
      <c r="F146" s="1138">
        <v>0</v>
      </c>
      <c r="G146" s="1138">
        <v>214</v>
      </c>
      <c r="H146" s="1139">
        <f t="shared" ref="H146:H157" si="42">IF(F146=0,0.5,F146/G146)</f>
        <v>0.5</v>
      </c>
      <c r="I146" s="1140"/>
      <c r="J146" s="1136">
        <v>0</v>
      </c>
      <c r="K146" s="1141">
        <f t="shared" ref="K146:K157" si="43">+J146*H146</f>
        <v>0</v>
      </c>
      <c r="L146" s="1141">
        <f>+K146</f>
        <v>0</v>
      </c>
      <c r="M146" s="1140"/>
      <c r="N146" s="1136">
        <v>0</v>
      </c>
      <c r="O146" s="1141">
        <f>IF($D$177="True-Up Adjustment",N146-J146,0)</f>
        <v>0</v>
      </c>
      <c r="P146" s="1141">
        <f>IF($D$177="True-Up Adjustment",IF(AND(J146&gt;=0,N146&gt;=0),IF(O146&gt;=0,K146+O146,N146/J146*K146),IF(AND(J146&lt;0,N146&lt;0),IF(O146&lt;0,K146+O146,N146/J146*K146),0)),0)</f>
        <v>0</v>
      </c>
      <c r="Q146" s="1141">
        <f t="shared" ref="Q146:Q157" si="44">IF(AND(J146&gt;=0,N146&lt;0),N146,IF(AND(J146&lt;0,N146&gt;=0),N146,0))</f>
        <v>0</v>
      </c>
      <c r="R146" s="1141">
        <f>+P146+Q146</f>
        <v>0</v>
      </c>
      <c r="S146" s="1140"/>
    </row>
    <row r="147" spans="2:19">
      <c r="B147" s="1131">
        <f t="shared" ref="B147:B158" si="45">+B146+1</f>
        <v>95</v>
      </c>
      <c r="D147" s="1137" t="s">
        <v>635</v>
      </c>
      <c r="E147" s="1136">
        <v>28</v>
      </c>
      <c r="F147" s="1138">
        <v>0</v>
      </c>
      <c r="G147" s="1138">
        <f t="shared" ref="G147:G157" si="46">G146</f>
        <v>214</v>
      </c>
      <c r="H147" s="1139">
        <f t="shared" si="42"/>
        <v>0.5</v>
      </c>
      <c r="I147" s="1140"/>
      <c r="J147" s="1136">
        <v>0</v>
      </c>
      <c r="K147" s="1141">
        <f t="shared" si="43"/>
        <v>0</v>
      </c>
      <c r="L147" s="1141">
        <f t="shared" ref="L147:L157" si="47">+K147+L146</f>
        <v>0</v>
      </c>
      <c r="M147" s="1140"/>
      <c r="N147" s="1136">
        <v>0</v>
      </c>
      <c r="O147" s="1141">
        <f t="shared" ref="O147:O157" si="48">IF($D$177="True-Up Adjustment",N147-J147,0)</f>
        <v>0</v>
      </c>
      <c r="P147" s="1141">
        <f t="shared" ref="P147:P157" si="49">IF($D$177="True-Up Adjustment",IF(AND(J147&gt;=0,N147&gt;=0),IF(O147&gt;=0,K147+O147,N147/J147*K147),IF(AND(J147&lt;0,N147&lt;0),IF(O147&lt;0,K147+O147,N147/J147*K147),0)),0)</f>
        <v>0</v>
      </c>
      <c r="Q147" s="1141">
        <f t="shared" si="44"/>
        <v>0</v>
      </c>
      <c r="R147" s="1141">
        <f t="shared" ref="R147:R157" si="50">R146+P147+Q147</f>
        <v>0</v>
      </c>
      <c r="S147" s="1140"/>
    </row>
    <row r="148" spans="2:19">
      <c r="B148" s="1131">
        <f t="shared" si="45"/>
        <v>96</v>
      </c>
      <c r="D148" s="1137" t="s">
        <v>662</v>
      </c>
      <c r="E148" s="1136">
        <v>31</v>
      </c>
      <c r="F148" s="1138">
        <v>0</v>
      </c>
      <c r="G148" s="1138">
        <f t="shared" si="46"/>
        <v>214</v>
      </c>
      <c r="H148" s="1139">
        <f t="shared" si="42"/>
        <v>0.5</v>
      </c>
      <c r="I148" s="1140"/>
      <c r="J148" s="1136">
        <v>0</v>
      </c>
      <c r="K148" s="1141">
        <f t="shared" si="43"/>
        <v>0</v>
      </c>
      <c r="L148" s="1141">
        <f t="shared" si="47"/>
        <v>0</v>
      </c>
      <c r="M148" s="1140"/>
      <c r="N148" s="1136">
        <v>0</v>
      </c>
      <c r="O148" s="1141">
        <f t="shared" si="48"/>
        <v>0</v>
      </c>
      <c r="P148" s="1141">
        <f t="shared" si="49"/>
        <v>0</v>
      </c>
      <c r="Q148" s="1141">
        <f t="shared" si="44"/>
        <v>0</v>
      </c>
      <c r="R148" s="1141">
        <f t="shared" si="50"/>
        <v>0</v>
      </c>
      <c r="S148" s="1140"/>
    </row>
    <row r="149" spans="2:19">
      <c r="B149" s="1131">
        <f t="shared" si="45"/>
        <v>97</v>
      </c>
      <c r="D149" s="1137" t="s">
        <v>213</v>
      </c>
      <c r="E149" s="1136">
        <v>30</v>
      </c>
      <c r="F149" s="1138">
        <v>0</v>
      </c>
      <c r="G149" s="1138">
        <f t="shared" si="46"/>
        <v>214</v>
      </c>
      <c r="H149" s="1139">
        <f t="shared" si="42"/>
        <v>0.5</v>
      </c>
      <c r="I149" s="1140"/>
      <c r="J149" s="1136">
        <v>0</v>
      </c>
      <c r="K149" s="1141">
        <f t="shared" si="43"/>
        <v>0</v>
      </c>
      <c r="L149" s="1141">
        <f t="shared" si="47"/>
        <v>0</v>
      </c>
      <c r="M149" s="1140"/>
      <c r="N149" s="1136">
        <v>0</v>
      </c>
      <c r="O149" s="1141">
        <f t="shared" si="48"/>
        <v>0</v>
      </c>
      <c r="P149" s="1141">
        <f t="shared" si="49"/>
        <v>0</v>
      </c>
      <c r="Q149" s="1141">
        <f t="shared" si="44"/>
        <v>0</v>
      </c>
      <c r="R149" s="1141">
        <f t="shared" si="50"/>
        <v>0</v>
      </c>
      <c r="S149" s="1140"/>
    </row>
    <row r="150" spans="2:19">
      <c r="B150" s="1131">
        <f t="shared" si="45"/>
        <v>98</v>
      </c>
      <c r="D150" s="1137" t="s">
        <v>214</v>
      </c>
      <c r="E150" s="1136">
        <v>31</v>
      </c>
      <c r="F150" s="1138">
        <v>0</v>
      </c>
      <c r="G150" s="1138">
        <f t="shared" si="46"/>
        <v>214</v>
      </c>
      <c r="H150" s="1139">
        <f t="shared" si="42"/>
        <v>0.5</v>
      </c>
      <c r="I150" s="1140"/>
      <c r="J150" s="1136">
        <v>0</v>
      </c>
      <c r="K150" s="1141">
        <f t="shared" si="43"/>
        <v>0</v>
      </c>
      <c r="L150" s="1141">
        <f t="shared" si="47"/>
        <v>0</v>
      </c>
      <c r="M150" s="1140"/>
      <c r="N150" s="1136">
        <v>0</v>
      </c>
      <c r="O150" s="1141">
        <f t="shared" si="48"/>
        <v>0</v>
      </c>
      <c r="P150" s="1141">
        <f t="shared" si="49"/>
        <v>0</v>
      </c>
      <c r="Q150" s="1141">
        <f t="shared" si="44"/>
        <v>0</v>
      </c>
      <c r="R150" s="1141">
        <f t="shared" si="50"/>
        <v>0</v>
      </c>
      <c r="S150" s="1140"/>
    </row>
    <row r="151" spans="2:19">
      <c r="B151" s="1131">
        <f t="shared" si="45"/>
        <v>99</v>
      </c>
      <c r="D151" s="1137" t="s">
        <v>215</v>
      </c>
      <c r="E151" s="1136">
        <v>30</v>
      </c>
      <c r="F151" s="1138">
        <f t="shared" ref="F151:F156" si="51">E152+F152</f>
        <v>185</v>
      </c>
      <c r="G151" s="1138">
        <f t="shared" si="46"/>
        <v>214</v>
      </c>
      <c r="H151" s="1139">
        <f t="shared" si="42"/>
        <v>0.86448598130841126</v>
      </c>
      <c r="I151" s="1140"/>
      <c r="J151" s="1136">
        <v>0</v>
      </c>
      <c r="K151" s="1141">
        <f t="shared" si="43"/>
        <v>0</v>
      </c>
      <c r="L151" s="1141">
        <f t="shared" si="47"/>
        <v>0</v>
      </c>
      <c r="M151" s="1140"/>
      <c r="N151" s="1136">
        <v>0</v>
      </c>
      <c r="O151" s="1141">
        <f t="shared" si="48"/>
        <v>0</v>
      </c>
      <c r="P151" s="1141">
        <f t="shared" si="49"/>
        <v>0</v>
      </c>
      <c r="Q151" s="1141">
        <f t="shared" si="44"/>
        <v>0</v>
      </c>
      <c r="R151" s="1141">
        <f t="shared" si="50"/>
        <v>0</v>
      </c>
      <c r="S151" s="1140"/>
    </row>
    <row r="152" spans="2:19">
      <c r="B152" s="1131">
        <f t="shared" si="45"/>
        <v>100</v>
      </c>
      <c r="D152" s="1137" t="s">
        <v>637</v>
      </c>
      <c r="E152" s="1136">
        <v>31</v>
      </c>
      <c r="F152" s="1138">
        <f t="shared" si="51"/>
        <v>154</v>
      </c>
      <c r="G152" s="1138">
        <f t="shared" si="46"/>
        <v>214</v>
      </c>
      <c r="H152" s="1139">
        <f t="shared" si="42"/>
        <v>0.71962616822429903</v>
      </c>
      <c r="I152" s="1140"/>
      <c r="J152" s="1136">
        <v>0</v>
      </c>
      <c r="K152" s="1141">
        <f t="shared" si="43"/>
        <v>0</v>
      </c>
      <c r="L152" s="1141">
        <f t="shared" si="47"/>
        <v>0</v>
      </c>
      <c r="M152" s="1140"/>
      <c r="N152" s="1136">
        <v>0</v>
      </c>
      <c r="O152" s="1141">
        <f t="shared" si="48"/>
        <v>0</v>
      </c>
      <c r="P152" s="1141">
        <f t="shared" si="49"/>
        <v>0</v>
      </c>
      <c r="Q152" s="1141">
        <f t="shared" si="44"/>
        <v>0</v>
      </c>
      <c r="R152" s="1141">
        <f t="shared" si="50"/>
        <v>0</v>
      </c>
      <c r="S152" s="1140"/>
    </row>
    <row r="153" spans="2:19">
      <c r="B153" s="1131">
        <f t="shared" si="45"/>
        <v>101</v>
      </c>
      <c r="D153" s="1137" t="s">
        <v>663</v>
      </c>
      <c r="E153" s="1136">
        <v>31</v>
      </c>
      <c r="F153" s="1138">
        <f t="shared" si="51"/>
        <v>123</v>
      </c>
      <c r="G153" s="1138">
        <f t="shared" si="46"/>
        <v>214</v>
      </c>
      <c r="H153" s="1139">
        <f t="shared" si="42"/>
        <v>0.57476635514018692</v>
      </c>
      <c r="I153" s="1140"/>
      <c r="J153" s="1136">
        <v>0</v>
      </c>
      <c r="K153" s="1141">
        <f t="shared" si="43"/>
        <v>0</v>
      </c>
      <c r="L153" s="1141">
        <f t="shared" si="47"/>
        <v>0</v>
      </c>
      <c r="M153" s="1140"/>
      <c r="N153" s="1136">
        <v>0</v>
      </c>
      <c r="O153" s="1141">
        <f t="shared" si="48"/>
        <v>0</v>
      </c>
      <c r="P153" s="1141">
        <f t="shared" si="49"/>
        <v>0</v>
      </c>
      <c r="Q153" s="1141">
        <f t="shared" si="44"/>
        <v>0</v>
      </c>
      <c r="R153" s="1141">
        <f t="shared" si="50"/>
        <v>0</v>
      </c>
      <c r="S153" s="1140"/>
    </row>
    <row r="154" spans="2:19">
      <c r="B154" s="1131">
        <f t="shared" si="45"/>
        <v>102</v>
      </c>
      <c r="D154" s="1137" t="s">
        <v>639</v>
      </c>
      <c r="E154" s="1136">
        <v>30</v>
      </c>
      <c r="F154" s="1138">
        <f t="shared" si="51"/>
        <v>93</v>
      </c>
      <c r="G154" s="1138">
        <f t="shared" si="46"/>
        <v>214</v>
      </c>
      <c r="H154" s="1139">
        <f t="shared" si="42"/>
        <v>0.43457943925233644</v>
      </c>
      <c r="I154" s="1140"/>
      <c r="J154" s="1136">
        <v>0</v>
      </c>
      <c r="K154" s="1141">
        <f t="shared" si="43"/>
        <v>0</v>
      </c>
      <c r="L154" s="1141">
        <f t="shared" si="47"/>
        <v>0</v>
      </c>
      <c r="M154" s="1140"/>
      <c r="N154" s="1136">
        <v>0</v>
      </c>
      <c r="O154" s="1141">
        <f t="shared" si="48"/>
        <v>0</v>
      </c>
      <c r="P154" s="1141">
        <f t="shared" si="49"/>
        <v>0</v>
      </c>
      <c r="Q154" s="1141">
        <f t="shared" si="44"/>
        <v>0</v>
      </c>
      <c r="R154" s="1141">
        <f t="shared" si="50"/>
        <v>0</v>
      </c>
      <c r="S154" s="1140"/>
    </row>
    <row r="155" spans="2:19">
      <c r="B155" s="1131">
        <f t="shared" si="45"/>
        <v>103</v>
      </c>
      <c r="D155" s="1137" t="s">
        <v>640</v>
      </c>
      <c r="E155" s="1136">
        <v>31</v>
      </c>
      <c r="F155" s="1138">
        <f t="shared" si="51"/>
        <v>62</v>
      </c>
      <c r="G155" s="1138">
        <f t="shared" si="46"/>
        <v>214</v>
      </c>
      <c r="H155" s="1139">
        <f t="shared" si="42"/>
        <v>0.28971962616822428</v>
      </c>
      <c r="I155" s="1140"/>
      <c r="J155" s="1136">
        <v>0</v>
      </c>
      <c r="K155" s="1141">
        <f t="shared" si="43"/>
        <v>0</v>
      </c>
      <c r="L155" s="1141">
        <f t="shared" si="47"/>
        <v>0</v>
      </c>
      <c r="M155" s="1140"/>
      <c r="N155" s="1136">
        <v>0</v>
      </c>
      <c r="O155" s="1141">
        <f t="shared" si="48"/>
        <v>0</v>
      </c>
      <c r="P155" s="1141">
        <f t="shared" si="49"/>
        <v>0</v>
      </c>
      <c r="Q155" s="1141">
        <f t="shared" si="44"/>
        <v>0</v>
      </c>
      <c r="R155" s="1141">
        <f t="shared" si="50"/>
        <v>0</v>
      </c>
      <c r="S155" s="1140"/>
    </row>
    <row r="156" spans="2:19">
      <c r="B156" s="1131">
        <f t="shared" si="45"/>
        <v>104</v>
      </c>
      <c r="D156" s="1137" t="s">
        <v>641</v>
      </c>
      <c r="E156" s="1136">
        <v>30</v>
      </c>
      <c r="F156" s="1138">
        <f t="shared" si="51"/>
        <v>32</v>
      </c>
      <c r="G156" s="1138">
        <f t="shared" si="46"/>
        <v>214</v>
      </c>
      <c r="H156" s="1139">
        <f t="shared" si="42"/>
        <v>0.14953271028037382</v>
      </c>
      <c r="I156" s="1140"/>
      <c r="J156" s="1136">
        <v>0</v>
      </c>
      <c r="K156" s="1141">
        <f t="shared" si="43"/>
        <v>0</v>
      </c>
      <c r="L156" s="1141">
        <f t="shared" si="47"/>
        <v>0</v>
      </c>
      <c r="M156" s="1140"/>
      <c r="N156" s="1136">
        <v>0</v>
      </c>
      <c r="O156" s="1141">
        <f t="shared" si="48"/>
        <v>0</v>
      </c>
      <c r="P156" s="1141">
        <f t="shared" si="49"/>
        <v>0</v>
      </c>
      <c r="Q156" s="1141">
        <f t="shared" si="44"/>
        <v>0</v>
      </c>
      <c r="R156" s="1141">
        <f t="shared" si="50"/>
        <v>0</v>
      </c>
      <c r="S156" s="1140"/>
    </row>
    <row r="157" spans="2:19">
      <c r="B157" s="1131">
        <f t="shared" si="45"/>
        <v>105</v>
      </c>
      <c r="D157" s="1142" t="s">
        <v>895</v>
      </c>
      <c r="E157" s="1136">
        <v>31</v>
      </c>
      <c r="F157" s="1143">
        <v>1</v>
      </c>
      <c r="G157" s="1138">
        <f t="shared" si="46"/>
        <v>214</v>
      </c>
      <c r="H157" s="1139">
        <f t="shared" si="42"/>
        <v>4.6728971962616819E-3</v>
      </c>
      <c r="I157" s="1140"/>
      <c r="J157" s="1136">
        <v>0</v>
      </c>
      <c r="K157" s="1141">
        <f t="shared" si="43"/>
        <v>0</v>
      </c>
      <c r="L157" s="1141">
        <f t="shared" si="47"/>
        <v>0</v>
      </c>
      <c r="M157" s="1140"/>
      <c r="N157" s="1136">
        <v>0</v>
      </c>
      <c r="O157" s="1141">
        <f t="shared" si="48"/>
        <v>0</v>
      </c>
      <c r="P157" s="1141">
        <f t="shared" si="49"/>
        <v>0</v>
      </c>
      <c r="Q157" s="1141">
        <f t="shared" si="44"/>
        <v>0</v>
      </c>
      <c r="R157" s="1141">
        <f t="shared" si="50"/>
        <v>0</v>
      </c>
      <c r="S157" s="1140"/>
    </row>
    <row r="158" spans="2:19">
      <c r="B158" s="1131">
        <f t="shared" si="45"/>
        <v>106</v>
      </c>
      <c r="D158" s="1144" t="str">
        <f>"Total (Sum of Lines "&amp;B146&amp;" - "&amp;B157&amp;")"</f>
        <v>Total (Sum of Lines 94 - 105)</v>
      </c>
      <c r="E158" s="1145">
        <f>SUM(E146:E157)</f>
        <v>365</v>
      </c>
      <c r="F158" s="1146"/>
      <c r="G158" s="1146"/>
      <c r="H158" s="1147"/>
      <c r="I158" s="1148"/>
      <c r="J158" s="1145">
        <f>SUM(J146:J157)</f>
        <v>0</v>
      </c>
      <c r="K158" s="1145">
        <f>SUM(K146:K157)</f>
        <v>0</v>
      </c>
      <c r="L158" s="1149"/>
      <c r="M158" s="1148"/>
      <c r="N158" s="1145">
        <f>SUM(N146:N157)</f>
        <v>0</v>
      </c>
      <c r="O158" s="1145">
        <f>SUM(O146:O157)</f>
        <v>0</v>
      </c>
      <c r="P158" s="1145">
        <f>SUM(P146:P157)</f>
        <v>0</v>
      </c>
      <c r="Q158" s="1145">
        <f>SUM(Q146:Q157)</f>
        <v>0</v>
      </c>
      <c r="R158" s="1149"/>
      <c r="S158" s="1148"/>
    </row>
    <row r="159" spans="2:19">
      <c r="D159" s="1150"/>
      <c r="E159" s="1150"/>
      <c r="F159" s="1150"/>
      <c r="G159" s="1150"/>
      <c r="H159" s="1151"/>
      <c r="I159" s="1151"/>
      <c r="K159" s="1152"/>
      <c r="L159" s="1151"/>
      <c r="M159" s="1151"/>
      <c r="N159" s="1162"/>
      <c r="O159" s="1152"/>
      <c r="P159" s="1152"/>
      <c r="Q159" s="1152"/>
      <c r="R159" s="1151"/>
      <c r="S159" s="1151"/>
    </row>
    <row r="160" spans="2:19">
      <c r="B160" s="1131">
        <f>B158+1</f>
        <v>107</v>
      </c>
      <c r="D160" s="945" t="s">
        <v>1593</v>
      </c>
      <c r="I160" s="1151"/>
      <c r="J160" s="1136" t="str">
        <f>$J$12</f>
        <v>12/31/2021 (Actual)</v>
      </c>
      <c r="L160" s="1136">
        <v>0</v>
      </c>
      <c r="M160" s="1153"/>
      <c r="N160" s="1136" t="str">
        <f>$N$12</f>
        <v>12/31/2021 (Actual)</v>
      </c>
      <c r="R160" s="1136">
        <v>0</v>
      </c>
    </row>
    <row r="161" spans="1:19">
      <c r="B161" s="1131">
        <f>B160+1</f>
        <v>108</v>
      </c>
      <c r="D161" s="945" t="s">
        <v>1594</v>
      </c>
      <c r="I161" s="1151"/>
      <c r="J161" s="1154" t="s">
        <v>757</v>
      </c>
      <c r="L161" s="1155">
        <v>0</v>
      </c>
      <c r="M161" s="1156"/>
      <c r="N161" s="1154" t="s">
        <v>757</v>
      </c>
      <c r="R161" s="1155">
        <v>0</v>
      </c>
    </row>
    <row r="162" spans="1:19">
      <c r="B162" s="1131">
        <f>B161+1</f>
        <v>109</v>
      </c>
      <c r="D162" s="945" t="s">
        <v>1595</v>
      </c>
      <c r="I162" s="1151"/>
      <c r="J162" s="1144" t="str">
        <f>"(Col. "&amp;L141&amp;", Line "&amp;B160&amp;" + Line "&amp;B161&amp;")"</f>
        <v>(Col. (H), Line 107 + Line 108)</v>
      </c>
      <c r="L162" s="1157">
        <f>L160+L161</f>
        <v>0</v>
      </c>
      <c r="M162" s="1151"/>
      <c r="N162" s="1144" t="str">
        <f>"(Col. "&amp;R141&amp;", Line "&amp;B160&amp;" + Line "&amp;B161&amp;")"</f>
        <v>(Col. (M), Line 107 + Line 108)</v>
      </c>
      <c r="R162" s="1157">
        <f>R160+R161</f>
        <v>0</v>
      </c>
    </row>
    <row r="163" spans="1:19">
      <c r="I163" s="1151"/>
      <c r="L163" s="1157"/>
      <c r="M163" s="1151"/>
      <c r="R163" s="1157"/>
    </row>
    <row r="164" spans="1:19">
      <c r="B164" s="1131">
        <f>B162+1</f>
        <v>110</v>
      </c>
      <c r="D164" s="945" t="s">
        <v>1596</v>
      </c>
      <c r="I164" s="1151"/>
      <c r="J164" s="1136" t="str">
        <f>$J$32</f>
        <v>2022 Projected</v>
      </c>
      <c r="L164" s="1136">
        <v>0</v>
      </c>
      <c r="M164" s="1153"/>
      <c r="N164" s="1136" t="str">
        <f>$N$32</f>
        <v>12/31/2022 (Actual)</v>
      </c>
      <c r="R164" s="1136">
        <v>0</v>
      </c>
    </row>
    <row r="165" spans="1:19">
      <c r="B165" s="1131">
        <f>B164+1</f>
        <v>111</v>
      </c>
      <c r="D165" s="945" t="s">
        <v>1597</v>
      </c>
      <c r="I165" s="1151"/>
      <c r="J165" s="1154" t="s">
        <v>757</v>
      </c>
      <c r="L165" s="1155">
        <v>0</v>
      </c>
      <c r="M165" s="1151"/>
      <c r="N165" s="1154" t="s">
        <v>757</v>
      </c>
      <c r="R165" s="1155">
        <v>0</v>
      </c>
    </row>
    <row r="166" spans="1:19">
      <c r="B166" s="1131">
        <f>B165+1</f>
        <v>112</v>
      </c>
      <c r="D166" s="945" t="s">
        <v>1598</v>
      </c>
      <c r="I166" s="1151"/>
      <c r="J166" s="1144" t="str">
        <f>"(Col. "&amp;L141&amp;", Line "&amp;B164&amp;" + Line "&amp;B165&amp;")"</f>
        <v>(Col. (H), Line 110 + Line 111)</v>
      </c>
      <c r="L166" s="1157">
        <f>L164+L165</f>
        <v>0</v>
      </c>
      <c r="M166" s="1151"/>
      <c r="N166" s="1144" t="str">
        <f>"(Col. "&amp;R141&amp;", Line "&amp;B164&amp;" + Line "&amp;B165&amp;")"</f>
        <v>(Col. (M), Line 110 + Line 111)</v>
      </c>
      <c r="R166" s="1157">
        <f>R164+R165</f>
        <v>0</v>
      </c>
    </row>
    <row r="167" spans="1:19">
      <c r="I167" s="1151"/>
      <c r="L167" s="1157"/>
      <c r="M167" s="1151"/>
      <c r="R167" s="1157"/>
    </row>
    <row r="168" spans="1:19">
      <c r="B168" s="1131">
        <f>B166+1</f>
        <v>113</v>
      </c>
      <c r="D168" s="945" t="s">
        <v>1155</v>
      </c>
      <c r="I168" s="1151"/>
      <c r="J168" s="1144" t="str">
        <f>"([Col. "&amp;L141&amp;", Line "&amp;B162&amp;" + Line "&amp;B166&amp;"] /2)"</f>
        <v>([Col. (H), Line 109 + Line 112] /2)</v>
      </c>
      <c r="L168" s="1141">
        <f>(L162+L166)/2</f>
        <v>0</v>
      </c>
      <c r="M168" s="1151"/>
      <c r="N168" s="1144" t="str">
        <f>"([Col. "&amp;R141&amp;", Line "&amp;B162&amp;" + Line "&amp;B166&amp;"] /2)"</f>
        <v>([Col. (M), Line 109 + Line 112] /2)</v>
      </c>
      <c r="R168" s="1141">
        <f>(R162+R166)/2</f>
        <v>0</v>
      </c>
    </row>
    <row r="169" spans="1:19">
      <c r="B169" s="1131">
        <f>B168+1</f>
        <v>114</v>
      </c>
      <c r="D169" s="1150" t="s">
        <v>1599</v>
      </c>
      <c r="E169" s="1150"/>
      <c r="F169" s="1150"/>
      <c r="G169" s="1150"/>
      <c r="H169" s="1151"/>
      <c r="I169" s="1151"/>
      <c r="J169" s="1144" t="str">
        <f>"(Col. "&amp;L141&amp;", Line "&amp;B157&amp;" )"</f>
        <v>(Col. (H), Line 105 )</v>
      </c>
      <c r="K169" s="1152"/>
      <c r="L169" s="1141">
        <f>L157</f>
        <v>0</v>
      </c>
      <c r="M169" s="1151"/>
      <c r="N169" s="1144" t="str">
        <f>"(Col. "&amp;R141&amp;", Line "&amp;B157&amp;" )"</f>
        <v>(Col. (M), Line 105 )</v>
      </c>
      <c r="R169" s="1141">
        <f>R157</f>
        <v>0</v>
      </c>
    </row>
    <row r="170" spans="1:19" ht="13.5" thickBot="1">
      <c r="B170" s="1131">
        <f>B169+1</f>
        <v>115</v>
      </c>
      <c r="D170" s="1158" t="s">
        <v>1600</v>
      </c>
      <c r="E170" s="1150"/>
      <c r="F170" s="1150"/>
      <c r="G170" s="1150"/>
      <c r="H170" s="1151"/>
      <c r="I170" s="1151"/>
      <c r="J170" s="1144" t="str">
        <f>"(Col. "&amp;L141&amp;", Line "&amp;B168&amp;" + Line "&amp;B169&amp;")"</f>
        <v>(Col. (H), Line 113 + Line 114)</v>
      </c>
      <c r="K170" s="1152"/>
      <c r="L170" s="1159">
        <f>L168+L169</f>
        <v>0</v>
      </c>
      <c r="M170" s="1151"/>
      <c r="N170" s="1144" t="str">
        <f>"(Col. "&amp;R141&amp;", Line "&amp;B168&amp;" + Line "&amp;B169&amp;")"</f>
        <v>(Col. (M), Line 113 + Line 114)</v>
      </c>
      <c r="R170" s="1159">
        <f>R168+R169</f>
        <v>0</v>
      </c>
    </row>
    <row r="171" spans="1:19">
      <c r="D171" s="1150"/>
      <c r="E171" s="1150"/>
      <c r="F171" s="1150"/>
      <c r="G171" s="1150"/>
      <c r="H171" s="1151"/>
      <c r="I171" s="1151"/>
      <c r="K171" s="1152"/>
      <c r="L171" s="1151"/>
      <c r="M171" s="1151"/>
      <c r="O171" s="1152"/>
      <c r="P171" s="1152"/>
      <c r="Q171" s="1152"/>
      <c r="R171" s="1151"/>
      <c r="S171" s="1151"/>
    </row>
    <row r="172" spans="1:19" ht="13">
      <c r="A172" s="1163"/>
      <c r="B172" s="1164" t="s">
        <v>1542</v>
      </c>
      <c r="C172" s="1163"/>
      <c r="D172" s="1163"/>
      <c r="E172" s="1163"/>
      <c r="F172" s="1163"/>
      <c r="G172" s="1163"/>
      <c r="H172" s="1163"/>
      <c r="I172" s="1163"/>
      <c r="J172" s="1163"/>
      <c r="K172" s="1163"/>
      <c r="L172" s="1163"/>
      <c r="M172" s="1163"/>
      <c r="N172" s="1163"/>
      <c r="O172" s="1163"/>
      <c r="P172" s="1163"/>
      <c r="Q172" s="1163"/>
      <c r="R172" s="1163"/>
      <c r="S172" s="1163"/>
    </row>
    <row r="174" spans="1:19" ht="12.75" customHeight="1">
      <c r="B174" s="1829" t="s">
        <v>1601</v>
      </c>
      <c r="C174" s="1829"/>
      <c r="D174" s="1829"/>
      <c r="E174" s="1829"/>
      <c r="F174" s="1829"/>
      <c r="G174" s="1829"/>
      <c r="H174" s="1829"/>
      <c r="I174" s="1829"/>
      <c r="J174" s="1829"/>
      <c r="K174" s="1829"/>
      <c r="L174" s="1829"/>
      <c r="M174" s="1151"/>
      <c r="O174" s="1152"/>
      <c r="P174" s="1152"/>
      <c r="Q174" s="1152"/>
      <c r="R174" s="1151"/>
      <c r="S174" s="1151"/>
    </row>
    <row r="175" spans="1:19">
      <c r="B175" s="1829"/>
      <c r="C175" s="1829"/>
      <c r="D175" s="1829"/>
      <c r="E175" s="1829"/>
      <c r="F175" s="1829"/>
      <c r="G175" s="1829"/>
      <c r="H175" s="1829"/>
      <c r="I175" s="1829"/>
      <c r="J175" s="1829"/>
      <c r="K175" s="1829"/>
      <c r="L175" s="1829"/>
      <c r="M175" s="1151"/>
      <c r="O175" s="1152"/>
      <c r="P175" s="1152"/>
      <c r="Q175" s="1152"/>
      <c r="R175" s="1151"/>
      <c r="S175" s="1151"/>
    </row>
    <row r="176" spans="1:19">
      <c r="D176" s="1150"/>
      <c r="E176" s="1150"/>
      <c r="F176" s="1150"/>
      <c r="G176" s="1150"/>
      <c r="H176" s="1151"/>
      <c r="I176" s="1151"/>
      <c r="K176" s="1152"/>
      <c r="L176" s="1151"/>
      <c r="M176" s="1151"/>
      <c r="O176" s="1152"/>
      <c r="P176" s="1152"/>
      <c r="Q176" s="1152"/>
      <c r="R176" s="1151"/>
      <c r="S176" s="1151"/>
    </row>
    <row r="177" spans="1:19" ht="13">
      <c r="B177" s="1129" t="s">
        <v>1602</v>
      </c>
      <c r="D177" s="1165" t="s">
        <v>2153</v>
      </c>
      <c r="E177" s="1166" t="str">
        <f>IF(D177="Projected Activity","Check",IF(D177="True-Up Adjustment","Check","Error"))</f>
        <v>Check</v>
      </c>
      <c r="F177" s="1750"/>
      <c r="G177" s="1151"/>
      <c r="H177" s="1151"/>
      <c r="I177" s="1151"/>
      <c r="K177" s="1152"/>
      <c r="L177" s="1151"/>
      <c r="M177" s="1151"/>
      <c r="O177" s="1152"/>
      <c r="P177" s="1152"/>
      <c r="Q177" s="1152"/>
      <c r="R177" s="1151"/>
      <c r="S177" s="1151"/>
    </row>
    <row r="178" spans="1:19">
      <c r="D178" s="1150"/>
      <c r="E178" s="1150"/>
      <c r="F178" s="1150"/>
      <c r="G178" s="1150"/>
      <c r="H178" s="1151"/>
      <c r="I178" s="1151"/>
      <c r="K178" s="1152"/>
      <c r="L178" s="1151"/>
      <c r="M178" s="1151"/>
      <c r="O178" s="1152"/>
      <c r="P178" s="1152"/>
      <c r="Q178" s="1152"/>
      <c r="R178" s="1151"/>
      <c r="S178" s="1151"/>
    </row>
    <row r="179" spans="1:19">
      <c r="B179" s="1838" t="s">
        <v>1603</v>
      </c>
      <c r="C179" s="1838"/>
      <c r="D179" s="1838"/>
      <c r="E179" s="1838"/>
      <c r="F179" s="1838"/>
      <c r="G179" s="1838"/>
      <c r="H179" s="1838"/>
      <c r="I179" s="1838"/>
      <c r="J179" s="1838"/>
      <c r="K179" s="1838"/>
      <c r="L179" s="1838"/>
      <c r="M179" s="1151"/>
      <c r="O179" s="1152"/>
      <c r="P179" s="1152"/>
      <c r="Q179" s="1152"/>
      <c r="R179" s="1151"/>
      <c r="S179" s="1151"/>
    </row>
    <row r="180" spans="1:19">
      <c r="B180" s="1838"/>
      <c r="C180" s="1838"/>
      <c r="D180" s="1838"/>
      <c r="E180" s="1838"/>
      <c r="F180" s="1838"/>
      <c r="G180" s="1838"/>
      <c r="H180" s="1838"/>
      <c r="I180" s="1838"/>
      <c r="J180" s="1838"/>
      <c r="K180" s="1838"/>
      <c r="L180" s="1838"/>
      <c r="M180" s="1151"/>
      <c r="O180" s="1152"/>
      <c r="P180" s="1152"/>
      <c r="Q180" s="1152"/>
      <c r="R180" s="1151"/>
      <c r="S180" s="1151"/>
    </row>
    <row r="181" spans="1:19">
      <c r="D181" s="1150"/>
      <c r="E181" s="1150"/>
      <c r="F181" s="1150"/>
      <c r="G181" s="1150"/>
      <c r="H181" s="1151"/>
      <c r="I181" s="1151"/>
      <c r="K181" s="1152"/>
      <c r="L181" s="1151"/>
      <c r="M181" s="1151"/>
      <c r="O181" s="1152"/>
      <c r="P181" s="1152"/>
      <c r="Q181" s="1152"/>
      <c r="R181" s="1151"/>
      <c r="S181" s="1151"/>
    </row>
    <row r="182" spans="1:19" ht="13">
      <c r="A182" s="1163"/>
      <c r="B182" s="1164" t="s">
        <v>1078</v>
      </c>
      <c r="C182" s="1163"/>
      <c r="D182" s="1163"/>
      <c r="E182" s="1163"/>
      <c r="F182" s="1163"/>
      <c r="G182" s="1163"/>
      <c r="H182" s="1163"/>
      <c r="I182" s="1163"/>
      <c r="J182" s="1163"/>
      <c r="K182" s="1163"/>
      <c r="L182" s="1163"/>
      <c r="M182" s="1163"/>
      <c r="N182" s="1163"/>
      <c r="O182" s="1163"/>
      <c r="P182" s="1163"/>
      <c r="Q182" s="1163"/>
      <c r="R182" s="1163"/>
      <c r="S182" s="1163"/>
    </row>
    <row r="184" spans="1:19" ht="15.75" customHeight="1">
      <c r="A184" s="1128"/>
      <c r="B184" s="1129" t="s">
        <v>9</v>
      </c>
      <c r="C184" s="1829" t="s">
        <v>1153</v>
      </c>
      <c r="D184" s="1829"/>
      <c r="E184" s="1829"/>
      <c r="F184" s="1829"/>
      <c r="G184" s="1829"/>
      <c r="H184" s="1829"/>
      <c r="I184" s="1829"/>
      <c r="J184" s="1829"/>
      <c r="K184" s="1829"/>
      <c r="L184" s="1829"/>
    </row>
    <row r="185" spans="1:19" ht="13">
      <c r="A185" s="1128"/>
      <c r="B185" s="1129"/>
      <c r="C185" s="1829"/>
      <c r="D185" s="1829"/>
      <c r="E185" s="1829"/>
      <c r="F185" s="1829"/>
      <c r="G185" s="1829"/>
      <c r="H185" s="1829"/>
      <c r="I185" s="1829"/>
      <c r="J185" s="1829"/>
      <c r="K185" s="1829"/>
      <c r="L185" s="1829"/>
    </row>
    <row r="186" spans="1:19">
      <c r="C186" s="1829"/>
      <c r="D186" s="1829"/>
      <c r="E186" s="1829"/>
      <c r="F186" s="1829"/>
      <c r="G186" s="1829"/>
      <c r="H186" s="1829"/>
      <c r="I186" s="1829"/>
      <c r="J186" s="1829"/>
      <c r="K186" s="1829"/>
      <c r="L186" s="1829"/>
    </row>
    <row r="187" spans="1:19">
      <c r="C187" s="1829"/>
      <c r="D187" s="1829"/>
      <c r="E187" s="1829"/>
      <c r="F187" s="1829"/>
      <c r="G187" s="1829"/>
      <c r="H187" s="1829"/>
      <c r="I187" s="1829"/>
      <c r="J187" s="1829"/>
      <c r="K187" s="1829"/>
      <c r="L187" s="1829"/>
    </row>
    <row r="188" spans="1:19" ht="15.75" customHeight="1">
      <c r="A188" s="1128"/>
      <c r="B188" s="1129" t="s">
        <v>10</v>
      </c>
      <c r="C188" s="1829" t="s">
        <v>1152</v>
      </c>
      <c r="D188" s="1829"/>
      <c r="E188" s="1829"/>
      <c r="F188" s="1829"/>
      <c r="G188" s="1829"/>
      <c r="H188" s="1829"/>
      <c r="I188" s="1829"/>
      <c r="J188" s="1829"/>
      <c r="K188" s="1829"/>
      <c r="L188" s="1829"/>
    </row>
    <row r="189" spans="1:19" ht="13">
      <c r="A189" s="1128"/>
      <c r="B189" s="1129"/>
      <c r="C189" s="1829"/>
      <c r="D189" s="1829"/>
      <c r="E189" s="1829"/>
      <c r="F189" s="1829"/>
      <c r="G189" s="1829"/>
      <c r="H189" s="1829"/>
      <c r="I189" s="1829"/>
      <c r="J189" s="1829"/>
      <c r="K189" s="1829"/>
      <c r="L189" s="1829"/>
    </row>
    <row r="190" spans="1:19" ht="13">
      <c r="A190" s="1128"/>
      <c r="B190" s="1129"/>
      <c r="C190" s="1829"/>
      <c r="D190" s="1829"/>
      <c r="E190" s="1829"/>
      <c r="F190" s="1829"/>
      <c r="G190" s="1829"/>
      <c r="H190" s="1829"/>
      <c r="I190" s="1829"/>
      <c r="J190" s="1829"/>
      <c r="K190" s="1829"/>
      <c r="L190" s="1829"/>
    </row>
    <row r="191" spans="1:19" ht="13">
      <c r="A191" s="1128"/>
      <c r="B191" s="1129"/>
      <c r="C191" s="1829"/>
      <c r="D191" s="1829"/>
      <c r="E191" s="1829"/>
      <c r="F191" s="1829"/>
      <c r="G191" s="1829"/>
      <c r="H191" s="1829"/>
      <c r="I191" s="1829"/>
      <c r="J191" s="1829"/>
      <c r="K191" s="1829"/>
      <c r="L191" s="1829"/>
    </row>
    <row r="192" spans="1:19" ht="13">
      <c r="A192" s="1128"/>
      <c r="B192" s="1129"/>
      <c r="C192" s="1829"/>
      <c r="D192" s="1829"/>
      <c r="E192" s="1829"/>
      <c r="F192" s="1829"/>
      <c r="G192" s="1829"/>
      <c r="H192" s="1829"/>
      <c r="I192" s="1829"/>
      <c r="J192" s="1829"/>
      <c r="K192" s="1829"/>
      <c r="L192" s="1829"/>
    </row>
    <row r="193" spans="1:12">
      <c r="C193" s="1829"/>
      <c r="D193" s="1829"/>
      <c r="E193" s="1829"/>
      <c r="F193" s="1829"/>
      <c r="G193" s="1829"/>
      <c r="H193" s="1829"/>
      <c r="I193" s="1829"/>
      <c r="J193" s="1829"/>
      <c r="K193" s="1829"/>
      <c r="L193" s="1829"/>
    </row>
    <row r="194" spans="1:12">
      <c r="C194" s="1829"/>
      <c r="D194" s="1829"/>
      <c r="E194" s="1829"/>
      <c r="F194" s="1829"/>
      <c r="G194" s="1829"/>
      <c r="H194" s="1829"/>
      <c r="I194" s="1829"/>
      <c r="J194" s="1829"/>
      <c r="K194" s="1829"/>
      <c r="L194" s="1829"/>
    </row>
    <row r="195" spans="1:12" ht="15.75" customHeight="1">
      <c r="A195" s="1128"/>
      <c r="B195" s="1129" t="s">
        <v>11</v>
      </c>
      <c r="C195" s="1829" t="s">
        <v>1151</v>
      </c>
      <c r="D195" s="1829"/>
      <c r="E195" s="1829"/>
      <c r="F195" s="1829"/>
      <c r="G195" s="1829"/>
      <c r="H195" s="1829"/>
      <c r="I195" s="1829"/>
      <c r="J195" s="1829"/>
      <c r="K195" s="1829"/>
      <c r="L195" s="1829"/>
    </row>
    <row r="196" spans="1:12" ht="13">
      <c r="A196" s="1128"/>
      <c r="B196" s="1129"/>
      <c r="C196" s="1829"/>
      <c r="D196" s="1829"/>
      <c r="E196" s="1829"/>
      <c r="F196" s="1829"/>
      <c r="G196" s="1829"/>
      <c r="H196" s="1829"/>
      <c r="I196" s="1829"/>
      <c r="J196" s="1829"/>
      <c r="K196" s="1829"/>
      <c r="L196" s="1829"/>
    </row>
    <row r="197" spans="1:12" ht="13">
      <c r="A197" s="1128"/>
      <c r="B197" s="1129"/>
      <c r="C197" s="1829"/>
      <c r="D197" s="1829"/>
      <c r="E197" s="1829"/>
      <c r="F197" s="1829"/>
      <c r="G197" s="1829"/>
      <c r="H197" s="1829"/>
      <c r="I197" s="1829"/>
      <c r="J197" s="1829"/>
      <c r="K197" s="1829"/>
      <c r="L197" s="1829"/>
    </row>
    <row r="198" spans="1:12" ht="13">
      <c r="A198" s="1128"/>
      <c r="B198" s="1129"/>
      <c r="C198" s="1829"/>
      <c r="D198" s="1829"/>
      <c r="E198" s="1829"/>
      <c r="F198" s="1829"/>
      <c r="G198" s="1829"/>
      <c r="H198" s="1829"/>
      <c r="I198" s="1829"/>
      <c r="J198" s="1829"/>
      <c r="K198" s="1829"/>
      <c r="L198" s="1829"/>
    </row>
    <row r="199" spans="1:12" ht="15.75" customHeight="1">
      <c r="A199" s="1128"/>
      <c r="B199" s="1129" t="s">
        <v>14</v>
      </c>
      <c r="C199" s="1829" t="s">
        <v>1150</v>
      </c>
      <c r="D199" s="1829"/>
      <c r="E199" s="1829"/>
      <c r="F199" s="1829"/>
      <c r="G199" s="1829"/>
      <c r="H199" s="1829"/>
      <c r="I199" s="1829"/>
      <c r="J199" s="1829"/>
      <c r="K199" s="1829"/>
      <c r="L199" s="1829"/>
    </row>
    <row r="200" spans="1:12" ht="15.75" customHeight="1">
      <c r="C200" s="1829"/>
      <c r="D200" s="1829"/>
      <c r="E200" s="1829"/>
      <c r="F200" s="1829"/>
      <c r="G200" s="1829"/>
      <c r="H200" s="1829"/>
      <c r="I200" s="1829"/>
      <c r="J200" s="1829"/>
      <c r="K200" s="1829"/>
      <c r="L200" s="1829"/>
    </row>
    <row r="201" spans="1:12" ht="15.75" customHeight="1">
      <c r="A201" s="1128"/>
      <c r="B201" s="1129" t="s">
        <v>166</v>
      </c>
      <c r="C201" s="1829" t="s">
        <v>1149</v>
      </c>
      <c r="D201" s="1829"/>
      <c r="E201" s="1829"/>
      <c r="F201" s="1829"/>
      <c r="G201" s="1829"/>
      <c r="H201" s="1829"/>
      <c r="I201" s="1829"/>
      <c r="J201" s="1829"/>
      <c r="K201" s="1829"/>
      <c r="L201" s="1829"/>
    </row>
    <row r="202" spans="1:12" ht="15.75" customHeight="1">
      <c r="C202" s="1829"/>
      <c r="D202" s="1829"/>
      <c r="E202" s="1829"/>
      <c r="F202" s="1829"/>
      <c r="G202" s="1829"/>
      <c r="H202" s="1829"/>
      <c r="I202" s="1829"/>
      <c r="J202" s="1829"/>
      <c r="K202" s="1829"/>
      <c r="L202" s="1829"/>
    </row>
    <row r="203" spans="1:12" ht="15.75" customHeight="1">
      <c r="A203" s="1128"/>
      <c r="B203" s="1129" t="s">
        <v>169</v>
      </c>
      <c r="C203" s="1830" t="s">
        <v>1148</v>
      </c>
      <c r="D203" s="1830"/>
      <c r="E203" s="1830"/>
      <c r="F203" s="1830"/>
      <c r="G203" s="1830"/>
      <c r="H203" s="1830"/>
      <c r="I203" s="1830"/>
      <c r="J203" s="1830"/>
      <c r="K203" s="1830"/>
      <c r="L203" s="1830"/>
    </row>
    <row r="204" spans="1:12">
      <c r="C204" s="1830"/>
      <c r="D204" s="1830"/>
      <c r="E204" s="1830"/>
      <c r="F204" s="1830"/>
      <c r="G204" s="1830"/>
      <c r="H204" s="1830"/>
      <c r="I204" s="1830"/>
      <c r="J204" s="1830"/>
      <c r="K204" s="1830"/>
      <c r="L204" s="1830"/>
    </row>
  </sheetData>
  <mergeCells count="32">
    <mergeCell ref="D8:H8"/>
    <mergeCell ref="J8:L8"/>
    <mergeCell ref="N8:R8"/>
    <mergeCell ref="A1:R1"/>
    <mergeCell ref="A2:R2"/>
    <mergeCell ref="A3:R3"/>
    <mergeCell ref="J7:L7"/>
    <mergeCell ref="N7:R7"/>
    <mergeCell ref="D41:H41"/>
    <mergeCell ref="J41:L41"/>
    <mergeCell ref="N41:R41"/>
    <mergeCell ref="D74:H74"/>
    <mergeCell ref="J74:L74"/>
    <mergeCell ref="N74:R7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C188:L194"/>
    <mergeCell ref="C195:L198"/>
    <mergeCell ref="C199:L200"/>
    <mergeCell ref="C201:L202"/>
    <mergeCell ref="C203:L204"/>
  </mergeCells>
  <pageMargins left="0.25" right="0.25" top="0.75" bottom="0.75" header="0.3" footer="0.3"/>
  <pageSetup scale="36"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7804-B918-4B84-B2CF-B3DA2EE9663C}">
  <sheetPr>
    <pageSetUpPr fitToPage="1"/>
  </sheetPr>
  <dimension ref="A1:R321"/>
  <sheetViews>
    <sheetView view="pageBreakPreview" topLeftCell="A265" zoomScale="55" zoomScaleNormal="80" zoomScaleSheetLayoutView="55" workbookViewId="0">
      <selection sqref="A1:XFD1048576"/>
    </sheetView>
  </sheetViews>
  <sheetFormatPr defaultColWidth="9.1796875" defaultRowHeight="12.5"/>
  <cols>
    <col min="1" max="1" width="5.7265625" style="1167" customWidth="1"/>
    <col min="2" max="2" width="11.453125" style="1169" customWidth="1"/>
    <col min="3" max="3" width="75.1796875" style="1167" customWidth="1"/>
    <col min="4" max="4" width="0.54296875" style="1167" customWidth="1"/>
    <col min="5" max="5" width="29.1796875" style="1167" customWidth="1"/>
    <col min="6" max="6" width="26.453125" style="1167" customWidth="1"/>
    <col min="7" max="7" width="18.81640625" style="1167" customWidth="1"/>
    <col min="8" max="8" width="27.81640625" style="1167" customWidth="1"/>
    <col min="9" max="9" width="28.81640625" style="1167" customWidth="1"/>
    <col min="10" max="10" width="85.7265625" style="1167" customWidth="1"/>
    <col min="11" max="11" width="5.7265625" style="1167" customWidth="1"/>
    <col min="12" max="16384" width="9.1796875" style="1167"/>
  </cols>
  <sheetData>
    <row r="1" spans="1:18" ht="15.5">
      <c r="A1" s="1841" t="s">
        <v>343</v>
      </c>
      <c r="B1" s="1841"/>
      <c r="C1" s="1841"/>
      <c r="D1" s="1841"/>
      <c r="E1" s="1841"/>
      <c r="F1" s="1841"/>
      <c r="G1" s="1841"/>
      <c r="H1" s="1841"/>
      <c r="I1" s="1841"/>
      <c r="J1" s="1841"/>
      <c r="K1" s="1841"/>
    </row>
    <row r="2" spans="1:18" ht="15.5">
      <c r="A2" s="1842" t="s">
        <v>1049</v>
      </c>
      <c r="B2" s="1842"/>
      <c r="C2" s="1842"/>
      <c r="D2" s="1842"/>
      <c r="E2" s="1842"/>
      <c r="F2" s="1842"/>
      <c r="G2" s="1842"/>
      <c r="H2" s="1842"/>
      <c r="I2" s="1842"/>
      <c r="J2" s="1842"/>
      <c r="K2" s="1842"/>
    </row>
    <row r="3" spans="1:18" ht="15.5">
      <c r="A3" s="1841" t="s">
        <v>1604</v>
      </c>
      <c r="B3" s="1841"/>
      <c r="C3" s="1841"/>
      <c r="D3" s="1841"/>
      <c r="E3" s="1841"/>
      <c r="F3" s="1841"/>
      <c r="G3" s="1841"/>
      <c r="H3" s="1841"/>
      <c r="I3" s="1841"/>
      <c r="J3" s="1841"/>
      <c r="K3" s="1841"/>
    </row>
    <row r="4" spans="1:18" ht="13">
      <c r="B4" s="1168"/>
    </row>
    <row r="5" spans="1:18" ht="13">
      <c r="I5" s="1170"/>
    </row>
    <row r="6" spans="1:18" ht="13">
      <c r="B6" s="1843" t="s">
        <v>2136</v>
      </c>
      <c r="C6" s="1843"/>
      <c r="D6" s="1843"/>
      <c r="E6" s="1843"/>
      <c r="F6" s="1843"/>
      <c r="G6" s="1843"/>
      <c r="H6" s="1843"/>
      <c r="I6" s="1843"/>
      <c r="J6" s="1843"/>
    </row>
    <row r="7" spans="1:18" ht="13">
      <c r="F7" s="1171" t="s">
        <v>1605</v>
      </c>
      <c r="G7" s="1172" t="s">
        <v>344</v>
      </c>
      <c r="H7" s="1172"/>
    </row>
    <row r="8" spans="1:18" ht="13">
      <c r="F8" s="1171" t="s">
        <v>1606</v>
      </c>
      <c r="G8" s="1172" t="s">
        <v>274</v>
      </c>
      <c r="H8" s="1172" t="s">
        <v>345</v>
      </c>
      <c r="I8" s="1172" t="s">
        <v>346</v>
      </c>
    </row>
    <row r="9" spans="1:18" ht="13">
      <c r="B9" s="1173" t="s">
        <v>691</v>
      </c>
      <c r="C9" s="1173" t="s">
        <v>1079</v>
      </c>
      <c r="E9" s="1174" t="s">
        <v>59</v>
      </c>
      <c r="F9" s="1174" t="s">
        <v>1607</v>
      </c>
      <c r="G9" s="1175" t="s">
        <v>347</v>
      </c>
      <c r="H9" s="1175" t="s">
        <v>347</v>
      </c>
      <c r="I9" s="1175" t="s">
        <v>347</v>
      </c>
    </row>
    <row r="10" spans="1:18" ht="5.15" customHeight="1"/>
    <row r="11" spans="1:18">
      <c r="B11" s="1169">
        <v>1</v>
      </c>
      <c r="C11" s="1176" t="s">
        <v>349</v>
      </c>
      <c r="E11" s="1177">
        <f>F11+G11+H11+I11</f>
        <v>2453363.8151536994</v>
      </c>
      <c r="F11" s="1177">
        <f>F83</f>
        <v>0</v>
      </c>
      <c r="G11" s="1177">
        <f>G83</f>
        <v>0</v>
      </c>
      <c r="H11" s="1177">
        <f>H83</f>
        <v>662251.31972055277</v>
      </c>
      <c r="I11" s="1177">
        <f>I83</f>
        <v>1791112.4954331466</v>
      </c>
    </row>
    <row r="12" spans="1:18">
      <c r="B12" s="1169">
        <f>B11+1</f>
        <v>2</v>
      </c>
      <c r="C12" s="1176" t="s">
        <v>1080</v>
      </c>
      <c r="E12" s="1177">
        <f>F12+G12+H12+I12</f>
        <v>0</v>
      </c>
      <c r="F12" s="1177">
        <v>0</v>
      </c>
      <c r="G12" s="1177">
        <v>0</v>
      </c>
      <c r="H12" s="1177">
        <v>0</v>
      </c>
      <c r="I12" s="1177">
        <v>0</v>
      </c>
      <c r="O12" s="1178"/>
      <c r="P12" s="1178"/>
      <c r="Q12" s="1178"/>
      <c r="R12" s="1178"/>
    </row>
    <row r="13" spans="1:18">
      <c r="B13" s="1169">
        <f>B12+1</f>
        <v>3</v>
      </c>
      <c r="C13" s="1176" t="s">
        <v>1081</v>
      </c>
      <c r="E13" s="1177">
        <f>F13+G13+H13+I13</f>
        <v>-158328408.7103239</v>
      </c>
      <c r="F13" s="1177">
        <f>F154</f>
        <v>0</v>
      </c>
      <c r="G13" s="1177">
        <f>G154</f>
        <v>0</v>
      </c>
      <c r="H13" s="1177">
        <f>H154</f>
        <v>-158328408.7103239</v>
      </c>
      <c r="I13" s="1177">
        <f>I154</f>
        <v>0</v>
      </c>
      <c r="O13" s="1178"/>
      <c r="P13" s="1178"/>
      <c r="Q13" s="1178"/>
      <c r="R13" s="1178"/>
    </row>
    <row r="14" spans="1:18">
      <c r="B14" s="1169">
        <f>B13+1</f>
        <v>4</v>
      </c>
      <c r="C14" s="1176" t="s">
        <v>348</v>
      </c>
      <c r="E14" s="1177">
        <f>F14+G14+H14+I14</f>
        <v>-12848372.614011137</v>
      </c>
      <c r="F14" s="1177">
        <f>F227</f>
        <v>0</v>
      </c>
      <c r="G14" s="1177">
        <f>G227</f>
        <v>0</v>
      </c>
      <c r="H14" s="1177">
        <f>H227</f>
        <v>-2038109.1077629789</v>
      </c>
      <c r="I14" s="1177">
        <f>I227</f>
        <v>-10810263.506248157</v>
      </c>
      <c r="O14" s="1178"/>
      <c r="P14" s="1178"/>
      <c r="Q14" s="1178"/>
      <c r="R14" s="1178"/>
    </row>
    <row r="15" spans="1:18">
      <c r="B15" s="1169">
        <f>B14+1</f>
        <v>5</v>
      </c>
      <c r="C15" s="1176" t="s">
        <v>377</v>
      </c>
      <c r="E15" s="1177">
        <f>F15+G15+H15+I15</f>
        <v>0</v>
      </c>
      <c r="F15" s="1177">
        <f>F298</f>
        <v>0</v>
      </c>
      <c r="G15" s="1177">
        <f>G298</f>
        <v>0</v>
      </c>
      <c r="H15" s="1177">
        <f>H298</f>
        <v>0</v>
      </c>
      <c r="I15" s="1177">
        <f>I298</f>
        <v>0</v>
      </c>
      <c r="O15" s="1178"/>
      <c r="P15" s="1178"/>
      <c r="Q15" s="1178"/>
      <c r="R15" s="1178"/>
    </row>
    <row r="16" spans="1:18" ht="5.15" customHeight="1">
      <c r="E16" s="1179"/>
      <c r="F16" s="1179"/>
      <c r="G16" s="1179"/>
      <c r="H16" s="1179"/>
      <c r="I16" s="1179"/>
    </row>
    <row r="17" spans="2:10" ht="13">
      <c r="B17" s="1169">
        <f>B16+6</f>
        <v>6</v>
      </c>
      <c r="C17" s="1180" t="s">
        <v>1082</v>
      </c>
      <c r="E17" s="1177">
        <f>E11+E12+E13+E14+E15</f>
        <v>-168723417.50918135</v>
      </c>
      <c r="F17" s="1177">
        <f>F11+F12+F13+F14+F15</f>
        <v>0</v>
      </c>
      <c r="G17" s="1177">
        <f>G11+G12+G13+G14+G15</f>
        <v>0</v>
      </c>
      <c r="H17" s="1177">
        <f>H11+H12+H13+H14+H15</f>
        <v>-159704266.49836633</v>
      </c>
      <c r="I17" s="1177">
        <f>I11+I12+I13+I14+I15</f>
        <v>-9019151.0108150113</v>
      </c>
      <c r="J17" s="1181"/>
    </row>
    <row r="18" spans="2:10">
      <c r="C18" s="1169"/>
      <c r="F18" s="1178"/>
      <c r="G18" s="1178"/>
      <c r="H18" s="1178"/>
      <c r="I18" s="1182"/>
    </row>
    <row r="19" spans="2:10">
      <c r="C19" s="1169"/>
      <c r="F19" s="1178"/>
      <c r="G19" s="1178"/>
      <c r="H19" s="1178"/>
      <c r="I19" s="1182"/>
    </row>
    <row r="20" spans="2:10" ht="13">
      <c r="B20" s="1183" t="s">
        <v>691</v>
      </c>
      <c r="C20" s="1183" t="s">
        <v>1608</v>
      </c>
      <c r="D20" s="314"/>
      <c r="E20" s="1174" t="s">
        <v>59</v>
      </c>
      <c r="F20" s="314"/>
      <c r="G20" s="314"/>
      <c r="H20" s="314"/>
      <c r="I20" s="1184"/>
    </row>
    <row r="21" spans="2:10">
      <c r="B21" s="314"/>
      <c r="C21" s="314"/>
      <c r="D21" s="314"/>
      <c r="E21" s="314"/>
      <c r="F21" s="314"/>
      <c r="G21" s="314"/>
      <c r="H21" s="314"/>
      <c r="I21" s="1184"/>
    </row>
    <row r="22" spans="2:10">
      <c r="B22" s="1185">
        <f>B17+1</f>
        <v>7</v>
      </c>
      <c r="C22" s="1167" t="s">
        <v>1609</v>
      </c>
      <c r="E22" s="1177">
        <v>-2076514.4658465076</v>
      </c>
      <c r="I22" s="1186"/>
    </row>
    <row r="23" spans="2:10">
      <c r="B23" s="1167"/>
    </row>
    <row r="24" spans="2:10" ht="12.75" customHeight="1">
      <c r="B24" s="1844" t="s">
        <v>1610</v>
      </c>
      <c r="C24" s="1844"/>
      <c r="D24" s="1844"/>
      <c r="E24" s="1844"/>
      <c r="F24" s="1844"/>
      <c r="G24" s="1844"/>
      <c r="H24" s="1844"/>
      <c r="I24" s="1844"/>
    </row>
    <row r="25" spans="2:10">
      <c r="B25" s="1844"/>
      <c r="C25" s="1844"/>
      <c r="D25" s="1844"/>
      <c r="E25" s="1844"/>
      <c r="F25" s="1844"/>
      <c r="G25" s="1844"/>
      <c r="H25" s="1844"/>
      <c r="I25" s="1844"/>
    </row>
    <row r="26" spans="2:10">
      <c r="B26" s="1844"/>
      <c r="C26" s="1844"/>
      <c r="D26" s="1844"/>
      <c r="E26" s="1844"/>
      <c r="F26" s="1844"/>
      <c r="G26" s="1844"/>
      <c r="H26" s="1844"/>
      <c r="I26" s="1844"/>
    </row>
    <row r="27" spans="2:10">
      <c r="B27" s="314"/>
      <c r="C27" s="314"/>
      <c r="D27" s="314"/>
      <c r="E27" s="314"/>
      <c r="F27" s="314"/>
      <c r="G27" s="314"/>
      <c r="H27" s="314"/>
      <c r="I27" s="1184"/>
    </row>
    <row r="29" spans="2:10" ht="15" customHeight="1">
      <c r="B29" s="1844" t="s">
        <v>1611</v>
      </c>
      <c r="C29" s="1844"/>
      <c r="D29" s="1844"/>
      <c r="E29" s="1844"/>
      <c r="F29" s="1844"/>
      <c r="G29" s="1844"/>
      <c r="H29" s="1844"/>
      <c r="I29" s="1844"/>
      <c r="J29" s="1187"/>
    </row>
    <row r="30" spans="2:10">
      <c r="B30" s="1844"/>
      <c r="C30" s="1844"/>
      <c r="D30" s="1844"/>
      <c r="E30" s="1844"/>
      <c r="F30" s="1844"/>
      <c r="G30" s="1844"/>
      <c r="H30" s="1844"/>
      <c r="I30" s="1844"/>
      <c r="J30" s="1187"/>
    </row>
    <row r="31" spans="2:10">
      <c r="B31" s="1844"/>
      <c r="C31" s="1844"/>
      <c r="D31" s="1844"/>
      <c r="E31" s="1844"/>
      <c r="F31" s="1844"/>
      <c r="G31" s="1844"/>
      <c r="H31" s="1844"/>
      <c r="I31" s="1844"/>
      <c r="J31" s="1187"/>
    </row>
    <row r="32" spans="2:10" ht="13">
      <c r="I32" s="1170"/>
    </row>
    <row r="33" spans="2:10" ht="13">
      <c r="B33" s="1171" t="s">
        <v>216</v>
      </c>
      <c r="C33" s="1171"/>
      <c r="D33" s="1171"/>
      <c r="E33" s="1171" t="s">
        <v>217</v>
      </c>
      <c r="F33" s="1171" t="s">
        <v>1318</v>
      </c>
      <c r="G33" s="1171" t="s">
        <v>1566</v>
      </c>
      <c r="H33" s="1171" t="s">
        <v>1567</v>
      </c>
      <c r="I33" s="1171" t="s">
        <v>1568</v>
      </c>
      <c r="J33" s="1171" t="s">
        <v>1569</v>
      </c>
    </row>
    <row r="34" spans="2:10" ht="13">
      <c r="B34" s="1180"/>
      <c r="C34" s="314"/>
      <c r="D34" s="314"/>
      <c r="E34" s="1171"/>
      <c r="F34" s="1171" t="s">
        <v>1605</v>
      </c>
      <c r="G34" s="1171" t="s">
        <v>344</v>
      </c>
      <c r="H34" s="1171"/>
      <c r="I34" s="1171"/>
      <c r="J34" s="314"/>
    </row>
    <row r="35" spans="2:10" ht="13">
      <c r="B35" s="1188"/>
      <c r="C35" s="314"/>
      <c r="D35" s="314"/>
      <c r="E35" s="1171"/>
      <c r="F35" s="1171" t="s">
        <v>1606</v>
      </c>
      <c r="G35" s="1171" t="s">
        <v>274</v>
      </c>
      <c r="H35" s="1171" t="s">
        <v>345</v>
      </c>
      <c r="I35" s="1171" t="s">
        <v>346</v>
      </c>
      <c r="J35" s="314"/>
    </row>
    <row r="36" spans="2:10" ht="13">
      <c r="B36" s="1180" t="s">
        <v>1083</v>
      </c>
      <c r="C36" s="314"/>
      <c r="D36" s="314"/>
      <c r="E36" s="1171" t="s">
        <v>59</v>
      </c>
      <c r="F36" s="1174" t="s">
        <v>1607</v>
      </c>
      <c r="G36" s="1171" t="s">
        <v>347</v>
      </c>
      <c r="H36" s="1171" t="s">
        <v>347</v>
      </c>
      <c r="I36" s="1171" t="s">
        <v>347</v>
      </c>
      <c r="J36" s="1171" t="s">
        <v>351</v>
      </c>
    </row>
    <row r="37" spans="2:10" ht="25">
      <c r="B37" s="1364" t="s">
        <v>1881</v>
      </c>
      <c r="C37" s="1365"/>
      <c r="D37" s="1366"/>
      <c r="E37" s="1367">
        <f>SUM(F37:I37)</f>
        <v>1613551.0008689999</v>
      </c>
      <c r="F37" s="1367">
        <v>0</v>
      </c>
      <c r="G37" s="1367">
        <v>0</v>
      </c>
      <c r="H37" s="1367">
        <v>0</v>
      </c>
      <c r="I37" s="1367">
        <v>1613551.0008689999</v>
      </c>
      <c r="J37" s="1244" t="s">
        <v>1904</v>
      </c>
    </row>
    <row r="38" spans="2:10" ht="25">
      <c r="B38" s="1364" t="s">
        <v>2137</v>
      </c>
      <c r="C38" s="1365"/>
      <c r="D38" s="1366"/>
      <c r="E38" s="1367">
        <f t="shared" ref="E38:E69" si="0">SUM(F38:I38)</f>
        <v>1283037.3196632001</v>
      </c>
      <c r="F38" s="1367">
        <v>0</v>
      </c>
      <c r="G38" s="1367">
        <v>0</v>
      </c>
      <c r="H38" s="1367">
        <v>1214805.0357806</v>
      </c>
      <c r="I38" s="1367">
        <v>68232.283882600022</v>
      </c>
      <c r="J38" s="1244" t="s">
        <v>1904</v>
      </c>
    </row>
    <row r="39" spans="2:10" ht="25">
      <c r="B39" s="1364" t="s">
        <v>1258</v>
      </c>
      <c r="C39" s="1365"/>
      <c r="D39" s="1366"/>
      <c r="E39" s="1367">
        <f t="shared" si="0"/>
        <v>3388918.5355227999</v>
      </c>
      <c r="F39" s="1367">
        <v>0</v>
      </c>
      <c r="G39" s="1367">
        <v>0</v>
      </c>
      <c r="H39" s="1367">
        <v>0</v>
      </c>
      <c r="I39" s="1367">
        <v>3388918.5355227999</v>
      </c>
      <c r="J39" s="1244" t="s">
        <v>1904</v>
      </c>
    </row>
    <row r="40" spans="2:10">
      <c r="B40" s="1364" t="s">
        <v>1882</v>
      </c>
      <c r="C40" s="1365"/>
      <c r="D40" s="1366"/>
      <c r="E40" s="1367">
        <f t="shared" si="0"/>
        <v>10936034.462444898</v>
      </c>
      <c r="F40" s="1367">
        <v>10936034.462444898</v>
      </c>
      <c r="G40" s="1367">
        <v>0</v>
      </c>
      <c r="H40" s="1367">
        <v>0</v>
      </c>
      <c r="I40" s="1367">
        <v>0</v>
      </c>
      <c r="J40" s="1244" t="s">
        <v>1905</v>
      </c>
    </row>
    <row r="41" spans="2:10">
      <c r="B41" s="1364" t="s">
        <v>1923</v>
      </c>
      <c r="C41" s="1365"/>
      <c r="D41" s="1366"/>
      <c r="E41" s="1367">
        <f t="shared" si="0"/>
        <v>212188.9</v>
      </c>
      <c r="F41" s="1367">
        <v>212188.9</v>
      </c>
      <c r="G41" s="1367">
        <v>0</v>
      </c>
      <c r="H41" s="1367">
        <v>0</v>
      </c>
      <c r="I41" s="1367">
        <v>0</v>
      </c>
      <c r="J41" s="1244" t="s">
        <v>1905</v>
      </c>
    </row>
    <row r="42" spans="2:10">
      <c r="B42" s="1364" t="s">
        <v>1883</v>
      </c>
      <c r="C42" s="1365"/>
      <c r="D42" s="1366"/>
      <c r="E42" s="1367">
        <f t="shared" si="0"/>
        <v>10075528.125</v>
      </c>
      <c r="F42" s="1367">
        <v>10075528.125</v>
      </c>
      <c r="G42" s="1367">
        <v>0</v>
      </c>
      <c r="H42" s="1367">
        <v>0</v>
      </c>
      <c r="I42" s="1367">
        <v>0</v>
      </c>
      <c r="J42" s="1244" t="s">
        <v>1905</v>
      </c>
    </row>
    <row r="43" spans="2:10" ht="37.5">
      <c r="B43" s="1364" t="s">
        <v>1884</v>
      </c>
      <c r="C43" s="1365"/>
      <c r="D43" s="1366"/>
      <c r="E43" s="1367">
        <f t="shared" si="0"/>
        <v>-873509.13269620005</v>
      </c>
      <c r="F43" s="1367">
        <v>0</v>
      </c>
      <c r="G43" s="1367">
        <v>0</v>
      </c>
      <c r="H43" s="1367">
        <v>0</v>
      </c>
      <c r="I43" s="1367">
        <v>-873509.13269620005</v>
      </c>
      <c r="J43" s="1244" t="s">
        <v>1906</v>
      </c>
    </row>
    <row r="44" spans="2:10">
      <c r="B44" s="1364" t="s">
        <v>1885</v>
      </c>
      <c r="C44" s="1365"/>
      <c r="D44" s="1366"/>
      <c r="E44" s="1367">
        <f t="shared" si="0"/>
        <v>3463345.5723799998</v>
      </c>
      <c r="F44" s="1367">
        <v>3463345.5723799998</v>
      </c>
      <c r="G44" s="1367">
        <v>0</v>
      </c>
      <c r="H44" s="1367">
        <v>0</v>
      </c>
      <c r="I44" s="1367">
        <v>0</v>
      </c>
      <c r="J44" s="1244" t="s">
        <v>1905</v>
      </c>
    </row>
    <row r="45" spans="2:10" ht="25">
      <c r="B45" s="1364" t="s">
        <v>1886</v>
      </c>
      <c r="C45" s="1365"/>
      <c r="D45" s="1366"/>
      <c r="E45" s="1367">
        <f t="shared" si="0"/>
        <v>243201.23640589998</v>
      </c>
      <c r="F45" s="1367">
        <v>0</v>
      </c>
      <c r="G45" s="1367">
        <v>0</v>
      </c>
      <c r="H45" s="1367">
        <v>0</v>
      </c>
      <c r="I45" s="1367">
        <v>243201.23640589998</v>
      </c>
      <c r="J45" s="1244" t="s">
        <v>1904</v>
      </c>
    </row>
    <row r="46" spans="2:10" ht="25">
      <c r="B46" s="1364" t="s">
        <v>1525</v>
      </c>
      <c r="C46" s="1365"/>
      <c r="D46" s="1366"/>
      <c r="E46" s="1367">
        <f t="shared" si="0"/>
        <v>7348.6279457000001</v>
      </c>
      <c r="F46" s="1367">
        <v>0</v>
      </c>
      <c r="G46" s="1367">
        <v>0</v>
      </c>
      <c r="H46" s="1367">
        <v>0</v>
      </c>
      <c r="I46" s="1367">
        <v>7348.6279457000001</v>
      </c>
      <c r="J46" s="1244" t="s">
        <v>1904</v>
      </c>
    </row>
    <row r="47" spans="2:10" ht="25">
      <c r="B47" s="1364" t="s">
        <v>1765</v>
      </c>
      <c r="C47" s="1365"/>
      <c r="D47" s="1366"/>
      <c r="E47" s="1367">
        <f t="shared" si="0"/>
        <v>55114</v>
      </c>
      <c r="F47" s="1367">
        <v>0</v>
      </c>
      <c r="G47" s="1367">
        <v>0</v>
      </c>
      <c r="H47" s="1367">
        <v>0</v>
      </c>
      <c r="I47" s="1367">
        <v>55114</v>
      </c>
      <c r="J47" s="1244" t="s">
        <v>1904</v>
      </c>
    </row>
    <row r="48" spans="2:10" ht="25">
      <c r="B48" s="1364" t="s">
        <v>1260</v>
      </c>
      <c r="C48" s="1365"/>
      <c r="D48" s="1366"/>
      <c r="E48" s="1367">
        <f t="shared" si="0"/>
        <v>1263890.5345657994</v>
      </c>
      <c r="F48" s="1367">
        <v>0</v>
      </c>
      <c r="G48" s="1367">
        <v>0</v>
      </c>
      <c r="H48" s="1367">
        <v>0</v>
      </c>
      <c r="I48" s="1367">
        <v>1263890.5345657994</v>
      </c>
      <c r="J48" s="1244" t="s">
        <v>1904</v>
      </c>
    </row>
    <row r="49" spans="2:10" ht="25">
      <c r="B49" s="1364" t="s">
        <v>1887</v>
      </c>
      <c r="C49" s="1365"/>
      <c r="D49" s="1366"/>
      <c r="E49" s="1367">
        <f t="shared" si="0"/>
        <v>5904233.798125999</v>
      </c>
      <c r="F49" s="1367">
        <v>0</v>
      </c>
      <c r="G49" s="1367">
        <v>0</v>
      </c>
      <c r="H49" s="1367">
        <v>0</v>
      </c>
      <c r="I49" s="1367">
        <v>5904233.798125999</v>
      </c>
      <c r="J49" s="1244" t="s">
        <v>1904</v>
      </c>
    </row>
    <row r="50" spans="2:10">
      <c r="B50" s="1364" t="s">
        <v>353</v>
      </c>
      <c r="C50" s="1365"/>
      <c r="D50" s="1366"/>
      <c r="E50" s="1367">
        <f t="shared" si="0"/>
        <v>19904887.210120797</v>
      </c>
      <c r="F50" s="1367">
        <v>19904887.210120797</v>
      </c>
      <c r="G50" s="1367">
        <v>0</v>
      </c>
      <c r="H50" s="1367">
        <v>0</v>
      </c>
      <c r="I50" s="1367">
        <v>0</v>
      </c>
      <c r="J50" s="1244" t="s">
        <v>1905</v>
      </c>
    </row>
    <row r="51" spans="2:10">
      <c r="B51" s="1364" t="s">
        <v>1888</v>
      </c>
      <c r="C51" s="1365"/>
      <c r="D51" s="1366"/>
      <c r="E51" s="1367">
        <f t="shared" si="0"/>
        <v>10698779.968769299</v>
      </c>
      <c r="F51" s="1367">
        <v>10698779.968769299</v>
      </c>
      <c r="G51" s="1367">
        <v>0</v>
      </c>
      <c r="H51" s="1367">
        <v>0</v>
      </c>
      <c r="I51" s="1367">
        <v>0</v>
      </c>
      <c r="J51" s="1244" t="s">
        <v>1905</v>
      </c>
    </row>
    <row r="52" spans="2:10">
      <c r="B52" s="1364" t="s">
        <v>352</v>
      </c>
      <c r="C52" s="1365"/>
      <c r="D52" s="1366"/>
      <c r="E52" s="1367">
        <f t="shared" si="0"/>
        <v>977825.086984589</v>
      </c>
      <c r="F52" s="1367">
        <v>977825.086984589</v>
      </c>
      <c r="G52" s="1367">
        <v>0</v>
      </c>
      <c r="H52" s="1367">
        <v>0</v>
      </c>
      <c r="I52" s="1367">
        <v>0</v>
      </c>
      <c r="J52" s="1244" t="s">
        <v>1905</v>
      </c>
    </row>
    <row r="53" spans="2:10">
      <c r="B53" s="1364" t="s">
        <v>1924</v>
      </c>
      <c r="C53" s="1365"/>
      <c r="D53" s="1366"/>
      <c r="E53" s="1367">
        <f t="shared" si="0"/>
        <v>22500069.919993501</v>
      </c>
      <c r="F53" s="1367">
        <v>22500069.919993501</v>
      </c>
      <c r="G53" s="1367">
        <v>0</v>
      </c>
      <c r="H53" s="1367">
        <v>0</v>
      </c>
      <c r="I53" s="1367">
        <v>0</v>
      </c>
      <c r="J53" s="1244" t="s">
        <v>1905</v>
      </c>
    </row>
    <row r="54" spans="2:10" ht="25">
      <c r="B54" s="1364" t="s">
        <v>1889</v>
      </c>
      <c r="C54" s="1365"/>
      <c r="D54" s="1366"/>
      <c r="E54" s="1367">
        <f t="shared" si="0"/>
        <v>25836.506262000003</v>
      </c>
      <c r="F54" s="1367">
        <v>0</v>
      </c>
      <c r="G54" s="1367">
        <v>0</v>
      </c>
      <c r="H54" s="1367">
        <v>0</v>
      </c>
      <c r="I54" s="1367">
        <v>25836.506262000003</v>
      </c>
      <c r="J54" s="1244" t="s">
        <v>1904</v>
      </c>
    </row>
    <row r="55" spans="2:10">
      <c r="B55" s="1364" t="s">
        <v>1794</v>
      </c>
      <c r="C55" s="1365"/>
      <c r="D55" s="1366"/>
      <c r="E55" s="1367">
        <f t="shared" si="0"/>
        <v>418512.84369000001</v>
      </c>
      <c r="F55" s="1367">
        <v>418512.84369000001</v>
      </c>
      <c r="G55" s="1367">
        <v>0</v>
      </c>
      <c r="H55" s="1367">
        <v>0</v>
      </c>
      <c r="I55" s="1367">
        <v>0</v>
      </c>
      <c r="J55" s="1244" t="s">
        <v>1905</v>
      </c>
    </row>
    <row r="56" spans="2:10">
      <c r="B56" s="1364" t="s">
        <v>1890</v>
      </c>
      <c r="C56" s="1365"/>
      <c r="D56" s="1366"/>
      <c r="E56" s="1367">
        <f t="shared" si="0"/>
        <v>979480.9512905</v>
      </c>
      <c r="F56" s="1367">
        <v>979480.9512905</v>
      </c>
      <c r="G56" s="1367">
        <v>0</v>
      </c>
      <c r="H56" s="1367">
        <v>0</v>
      </c>
      <c r="I56" s="1367">
        <v>0</v>
      </c>
      <c r="J56" s="1244" t="s">
        <v>1905</v>
      </c>
    </row>
    <row r="57" spans="2:10">
      <c r="B57" s="1364" t="s">
        <v>1389</v>
      </c>
      <c r="C57" s="1365"/>
      <c r="D57" s="1366"/>
      <c r="E57" s="1367">
        <f t="shared" si="0"/>
        <v>0</v>
      </c>
      <c r="F57" s="1367">
        <v>0</v>
      </c>
      <c r="G57" s="1367">
        <v>0</v>
      </c>
      <c r="H57" s="1367">
        <v>0</v>
      </c>
      <c r="I57" s="1367">
        <v>0</v>
      </c>
      <c r="J57" s="1244" t="s">
        <v>1905</v>
      </c>
    </row>
    <row r="58" spans="2:10">
      <c r="B58" s="1364" t="s">
        <v>1891</v>
      </c>
      <c r="C58" s="1365"/>
      <c r="D58" s="1366"/>
      <c r="E58" s="1367">
        <f t="shared" si="0"/>
        <v>6267200.4901862992</v>
      </c>
      <c r="F58" s="1367">
        <v>6267200.4901862992</v>
      </c>
      <c r="G58" s="1367">
        <v>0</v>
      </c>
      <c r="H58" s="1367">
        <v>0</v>
      </c>
      <c r="I58" s="1367">
        <v>0</v>
      </c>
      <c r="J58" s="1244" t="s">
        <v>1905</v>
      </c>
    </row>
    <row r="59" spans="2:10">
      <c r="B59" s="1364" t="s">
        <v>1925</v>
      </c>
      <c r="C59" s="1365"/>
      <c r="D59" s="1366"/>
      <c r="E59" s="1367">
        <f t="shared" si="0"/>
        <v>0</v>
      </c>
      <c r="F59" s="1367">
        <v>0</v>
      </c>
      <c r="G59" s="1367">
        <v>0</v>
      </c>
      <c r="H59" s="1367">
        <v>0</v>
      </c>
      <c r="I59" s="1367">
        <v>0</v>
      </c>
      <c r="J59" s="1244" t="s">
        <v>1905</v>
      </c>
    </row>
    <row r="60" spans="2:10">
      <c r="B60" s="1364" t="s">
        <v>1892</v>
      </c>
      <c r="C60" s="1365"/>
      <c r="D60" s="1366"/>
      <c r="E60" s="1367">
        <f t="shared" si="0"/>
        <v>116203.07959340001</v>
      </c>
      <c r="F60" s="1367">
        <v>116203.07959340001</v>
      </c>
      <c r="G60" s="1367">
        <v>0</v>
      </c>
      <c r="H60" s="1367">
        <v>0</v>
      </c>
      <c r="I60" s="1367">
        <v>0</v>
      </c>
      <c r="J60" s="1244" t="s">
        <v>1905</v>
      </c>
    </row>
    <row r="61" spans="2:10">
      <c r="B61" s="1364" t="s">
        <v>1926</v>
      </c>
      <c r="C61" s="1365"/>
      <c r="D61" s="1366"/>
      <c r="E61" s="1367">
        <f t="shared" si="0"/>
        <v>250431.55410000001</v>
      </c>
      <c r="F61" s="1367">
        <v>250431.55410000001</v>
      </c>
      <c r="G61" s="1367">
        <v>0</v>
      </c>
      <c r="H61" s="1367">
        <v>0</v>
      </c>
      <c r="I61" s="1367">
        <v>0</v>
      </c>
      <c r="J61" s="1244" t="s">
        <v>1905</v>
      </c>
    </row>
    <row r="62" spans="2:10">
      <c r="B62" s="1364" t="s">
        <v>1893</v>
      </c>
      <c r="C62" s="1365"/>
      <c r="D62" s="1366"/>
      <c r="E62" s="1367">
        <f t="shared" si="0"/>
        <v>11221.61109</v>
      </c>
      <c r="F62" s="1367">
        <v>11221.61109</v>
      </c>
      <c r="G62" s="1367">
        <v>0</v>
      </c>
      <c r="H62" s="1367">
        <v>0</v>
      </c>
      <c r="I62" s="1367">
        <v>0</v>
      </c>
      <c r="J62" s="1244" t="s">
        <v>1905</v>
      </c>
    </row>
    <row r="63" spans="2:10" ht="25">
      <c r="B63" s="1364" t="s">
        <v>1894</v>
      </c>
      <c r="C63" s="1365"/>
      <c r="D63" s="1366"/>
      <c r="E63" s="1367">
        <f t="shared" si="0"/>
        <v>1414619.9740499998</v>
      </c>
      <c r="F63" s="1367">
        <v>0</v>
      </c>
      <c r="G63" s="1367">
        <v>0</v>
      </c>
      <c r="H63" s="1367">
        <v>1414619.9740499998</v>
      </c>
      <c r="I63" s="1367">
        <v>0</v>
      </c>
      <c r="J63" s="1244" t="s">
        <v>1907</v>
      </c>
    </row>
    <row r="64" spans="2:10">
      <c r="B64" s="1364" t="s">
        <v>1953</v>
      </c>
      <c r="C64" s="1365"/>
      <c r="D64" s="1366"/>
      <c r="E64" s="1367">
        <f t="shared" si="0"/>
        <v>1417196.2361383915</v>
      </c>
      <c r="F64" s="1367">
        <v>1417196.2361383915</v>
      </c>
      <c r="G64" s="1367">
        <v>0</v>
      </c>
      <c r="H64" s="1367">
        <v>0</v>
      </c>
      <c r="I64" s="1367">
        <v>0</v>
      </c>
      <c r="J64" s="1244" t="s">
        <v>1905</v>
      </c>
    </row>
    <row r="65" spans="2:10">
      <c r="B65" s="1364" t="s">
        <v>1954</v>
      </c>
      <c r="C65" s="1365"/>
      <c r="D65" s="1366"/>
      <c r="E65" s="1367">
        <f t="shared" si="0"/>
        <v>1100575.3399816081</v>
      </c>
      <c r="F65" s="1367">
        <v>0</v>
      </c>
      <c r="G65" s="1367">
        <v>0</v>
      </c>
      <c r="H65" s="1367">
        <v>1100575.3399816081</v>
      </c>
      <c r="I65" s="1367">
        <v>0</v>
      </c>
      <c r="J65" s="1244" t="s">
        <v>1909</v>
      </c>
    </row>
    <row r="66" spans="2:10" ht="37.5">
      <c r="B66" s="1364" t="s">
        <v>1895</v>
      </c>
      <c r="C66" s="1365"/>
      <c r="D66" s="1366"/>
      <c r="E66" s="1367">
        <f t="shared" si="0"/>
        <v>355693.07978000003</v>
      </c>
      <c r="F66" s="1367">
        <v>0</v>
      </c>
      <c r="G66" s="1367">
        <v>0</v>
      </c>
      <c r="H66" s="1367">
        <v>355693.07978000003</v>
      </c>
      <c r="I66" s="1367">
        <v>0</v>
      </c>
      <c r="J66" s="1244" t="s">
        <v>2155</v>
      </c>
    </row>
    <row r="67" spans="2:10">
      <c r="B67" s="1364" t="s">
        <v>2156</v>
      </c>
      <c r="C67" s="1365"/>
      <c r="D67" s="1366"/>
      <c r="E67" s="1367">
        <f t="shared" si="0"/>
        <v>97770.845582454247</v>
      </c>
      <c r="F67" s="1367">
        <v>97770.845582454247</v>
      </c>
      <c r="G67" s="1367">
        <v>0</v>
      </c>
      <c r="H67" s="1367">
        <v>0</v>
      </c>
      <c r="I67" s="1367">
        <v>0</v>
      </c>
      <c r="J67" s="1244" t="s">
        <v>1905</v>
      </c>
    </row>
    <row r="68" spans="2:10" ht="37.5">
      <c r="B68" s="1364" t="s">
        <v>2157</v>
      </c>
      <c r="C68" s="1365"/>
      <c r="D68" s="1366"/>
      <c r="E68" s="1367">
        <f t="shared" si="0"/>
        <v>107588743.84868735</v>
      </c>
      <c r="F68" s="1367">
        <v>107588743.84868735</v>
      </c>
      <c r="G68" s="1367">
        <v>0</v>
      </c>
      <c r="H68" s="1367">
        <v>0</v>
      </c>
      <c r="I68" s="1367">
        <v>0</v>
      </c>
      <c r="J68" s="1244" t="s">
        <v>1908</v>
      </c>
    </row>
    <row r="69" spans="2:10">
      <c r="B69" s="1364" t="s">
        <v>1783</v>
      </c>
      <c r="C69" s="1365"/>
      <c r="D69" s="1366"/>
      <c r="E69" s="1367">
        <f t="shared" si="0"/>
        <v>0</v>
      </c>
      <c r="F69" s="1367">
        <v>0</v>
      </c>
      <c r="G69" s="1367">
        <v>0</v>
      </c>
      <c r="H69" s="1367">
        <v>0</v>
      </c>
      <c r="I69" s="1367">
        <v>0</v>
      </c>
      <c r="J69" s="1244" t="s">
        <v>1905</v>
      </c>
    </row>
    <row r="70" spans="2:10" ht="13">
      <c r="B70" s="1192" t="s">
        <v>1084</v>
      </c>
      <c r="C70" s="1193"/>
      <c r="D70" s="1194"/>
      <c r="E70" s="1195">
        <f>SUM(E37:E69)</f>
        <v>211697931.52652729</v>
      </c>
      <c r="F70" s="1195">
        <f>SUM(F37:F69)</f>
        <v>195915420.7060515</v>
      </c>
      <c r="G70" s="1195">
        <f>SUM(G37:G69)</f>
        <v>0</v>
      </c>
      <c r="H70" s="1195">
        <f>SUM(H37:H69)</f>
        <v>4085693.429592208</v>
      </c>
      <c r="I70" s="1195">
        <f>SUM(I37:I69)</f>
        <v>11696817.390883598</v>
      </c>
      <c r="J70" s="1196"/>
    </row>
    <row r="71" spans="2:10" ht="13">
      <c r="B71" s="1197"/>
      <c r="C71" s="1194"/>
      <c r="D71" s="1194"/>
      <c r="E71" s="1195"/>
      <c r="F71" s="1195"/>
      <c r="G71" s="1195"/>
      <c r="H71" s="1195"/>
      <c r="I71" s="1195"/>
      <c r="J71" s="1196"/>
    </row>
    <row r="72" spans="2:10">
      <c r="B72" s="1198" t="s">
        <v>1612</v>
      </c>
      <c r="C72" s="1199"/>
      <c r="D72" s="1199"/>
      <c r="E72" s="1200">
        <f>SUM(F72:I72)</f>
        <v>0</v>
      </c>
      <c r="F72" s="1190"/>
      <c r="G72" s="1190"/>
      <c r="H72" s="1190"/>
      <c r="I72" s="1190"/>
      <c r="J72" s="1201"/>
    </row>
    <row r="73" spans="2:10">
      <c r="B73" s="1198" t="s">
        <v>1613</v>
      </c>
      <c r="C73" s="1199"/>
      <c r="D73" s="1199"/>
      <c r="E73" s="1200">
        <f t="shared" ref="E73:E75" si="1">SUM(F73:I73)</f>
        <v>-355693.07978000003</v>
      </c>
      <c r="F73" s="1190">
        <f>-F66</f>
        <v>0</v>
      </c>
      <c r="G73" s="1190">
        <f t="shared" ref="G73:I73" si="2">-G66</f>
        <v>0</v>
      </c>
      <c r="H73" s="1190">
        <f t="shared" si="2"/>
        <v>-355693.07978000003</v>
      </c>
      <c r="I73" s="1190">
        <f t="shared" si="2"/>
        <v>0</v>
      </c>
      <c r="J73" s="1201"/>
    </row>
    <row r="74" spans="2:10">
      <c r="B74" s="1198" t="s">
        <v>1614</v>
      </c>
      <c r="C74" s="1199"/>
      <c r="D74" s="1199"/>
      <c r="E74" s="1200">
        <f t="shared" si="1"/>
        <v>-107588743.84868735</v>
      </c>
      <c r="F74" s="1190">
        <f>-F68</f>
        <v>-107588743.84868735</v>
      </c>
      <c r="G74" s="1190">
        <f t="shared" ref="G74:I74" si="3">-G68</f>
        <v>0</v>
      </c>
      <c r="H74" s="1190">
        <f t="shared" si="3"/>
        <v>0</v>
      </c>
      <c r="I74" s="1190">
        <f t="shared" si="3"/>
        <v>0</v>
      </c>
      <c r="J74" s="1201"/>
    </row>
    <row r="75" spans="2:10">
      <c r="B75" s="1198" t="s">
        <v>1162</v>
      </c>
      <c r="C75" s="1199"/>
      <c r="D75" s="1199"/>
      <c r="E75" s="1200">
        <f t="shared" si="1"/>
        <v>873509.13269620005</v>
      </c>
      <c r="F75" s="1190">
        <f>-F43</f>
        <v>0</v>
      </c>
      <c r="G75" s="1190">
        <f t="shared" ref="G75:I75" si="4">-G43</f>
        <v>0</v>
      </c>
      <c r="H75" s="1190">
        <f t="shared" si="4"/>
        <v>0</v>
      </c>
      <c r="I75" s="1190">
        <f t="shared" si="4"/>
        <v>873509.13269620005</v>
      </c>
      <c r="J75" s="1201"/>
    </row>
    <row r="76" spans="2:10" ht="5.15" customHeight="1">
      <c r="B76" s="1192"/>
      <c r="C76" s="1193"/>
      <c r="D76" s="1194"/>
      <c r="E76" s="1195"/>
      <c r="F76" s="1195"/>
      <c r="G76" s="1195"/>
      <c r="H76" s="1195"/>
      <c r="I76" s="1195"/>
      <c r="J76" s="1196"/>
    </row>
    <row r="77" spans="2:10" ht="13">
      <c r="B77" s="1197" t="s">
        <v>1085</v>
      </c>
      <c r="C77" s="1194"/>
      <c r="D77" s="1194"/>
      <c r="E77" s="1195">
        <f>SUM(E72:E76)+E70</f>
        <v>104627003.73075613</v>
      </c>
      <c r="F77" s="1195">
        <f>SUM(F72:F76)+F70</f>
        <v>88326676.857364148</v>
      </c>
      <c r="G77" s="1195">
        <f>SUM(G72:G76)+G70</f>
        <v>0</v>
      </c>
      <c r="H77" s="1195">
        <f>SUM(H72:H76)+H70</f>
        <v>3730000.3498122077</v>
      </c>
      <c r="I77" s="1195">
        <f>SUM(I72:I76)+I70</f>
        <v>12570326.523579799</v>
      </c>
      <c r="J77" s="1196"/>
    </row>
    <row r="78" spans="2:10" ht="13">
      <c r="B78" s="1197"/>
      <c r="C78" s="1194"/>
      <c r="D78" s="1194"/>
      <c r="E78" s="1195"/>
      <c r="F78" s="1195"/>
      <c r="G78" s="1195"/>
      <c r="H78" s="1195"/>
      <c r="I78" s="1195"/>
      <c r="J78" s="1196"/>
    </row>
    <row r="79" spans="2:10" ht="13">
      <c r="B79" s="1202" t="s">
        <v>350</v>
      </c>
      <c r="C79" s="1203"/>
      <c r="D79" s="1204"/>
      <c r="E79" s="1205"/>
      <c r="F79" s="1205"/>
      <c r="G79" s="1205"/>
      <c r="H79" s="1205"/>
      <c r="I79" s="1206">
        <f>+'ATT H-9A'!$H$24</f>
        <v>0.14248734844503233</v>
      </c>
      <c r="J79" s="1207"/>
    </row>
    <row r="80" spans="2:10" ht="13">
      <c r="B80" s="1202" t="s">
        <v>297</v>
      </c>
      <c r="C80" s="1203"/>
      <c r="D80" s="1204"/>
      <c r="E80" s="1205"/>
      <c r="F80" s="1205"/>
      <c r="G80" s="1205"/>
      <c r="H80" s="1206">
        <f>+'ATT H-9A'!$H$45</f>
        <v>0.17754725405156993</v>
      </c>
      <c r="I80" s="1205"/>
      <c r="J80" s="1207"/>
    </row>
    <row r="81" spans="2:10" ht="13">
      <c r="B81" s="1202" t="s">
        <v>1086</v>
      </c>
      <c r="C81" s="1203"/>
      <c r="D81" s="1204"/>
      <c r="E81" s="1205"/>
      <c r="F81" s="1205"/>
      <c r="G81" s="1206">
        <v>1</v>
      </c>
      <c r="H81" s="1205"/>
      <c r="I81" s="1205"/>
      <c r="J81" s="1207"/>
    </row>
    <row r="82" spans="2:10" ht="13">
      <c r="B82" s="1202" t="s">
        <v>1087</v>
      </c>
      <c r="C82" s="1203"/>
      <c r="D82" s="1204"/>
      <c r="E82" s="1205"/>
      <c r="F82" s="1206">
        <v>0</v>
      </c>
      <c r="G82" s="1205"/>
      <c r="H82" s="1205"/>
      <c r="I82" s="1205"/>
      <c r="J82" s="1207"/>
    </row>
    <row r="83" spans="2:10" ht="13">
      <c r="B83" s="1208" t="s">
        <v>1088</v>
      </c>
      <c r="C83" s="1203"/>
      <c r="D83" s="1204"/>
      <c r="E83" s="1205">
        <f>F83+G83+H83+I83</f>
        <v>2453363.8151536994</v>
      </c>
      <c r="F83" s="1205">
        <f>F82*F77</f>
        <v>0</v>
      </c>
      <c r="G83" s="1205">
        <f>G77*G81</f>
        <v>0</v>
      </c>
      <c r="H83" s="1205">
        <f>H77*H80</f>
        <v>662251.31972055277</v>
      </c>
      <c r="I83" s="1205">
        <f>I79*I77</f>
        <v>1791112.4954331466</v>
      </c>
      <c r="J83" s="1207"/>
    </row>
    <row r="84" spans="2:10" ht="13">
      <c r="B84" s="1209"/>
      <c r="E84" s="1178"/>
      <c r="F84" s="1178"/>
      <c r="G84" s="1178"/>
      <c r="H84" s="1178"/>
      <c r="I84" s="1178"/>
      <c r="J84" s="1210"/>
    </row>
    <row r="85" spans="2:10" ht="13">
      <c r="B85" s="1180"/>
      <c r="E85" s="1178"/>
      <c r="F85" s="1178"/>
      <c r="G85" s="1178"/>
      <c r="H85" s="1178"/>
      <c r="I85" s="1178"/>
      <c r="J85" s="1210"/>
    </row>
    <row r="86" spans="2:10" ht="13">
      <c r="B86" s="1171" t="s">
        <v>216</v>
      </c>
      <c r="C86" s="1171"/>
      <c r="D86" s="1171"/>
      <c r="E86" s="1171" t="s">
        <v>217</v>
      </c>
      <c r="F86" s="1171" t="s">
        <v>1318</v>
      </c>
      <c r="G86" s="1171" t="s">
        <v>1566</v>
      </c>
      <c r="H86" s="1171" t="s">
        <v>1567</v>
      </c>
      <c r="I86" s="1171" t="s">
        <v>1568</v>
      </c>
      <c r="J86" s="1171" t="s">
        <v>1569</v>
      </c>
    </row>
    <row r="87" spans="2:10" ht="13">
      <c r="B87" s="1180"/>
      <c r="C87" s="314"/>
      <c r="D87" s="314"/>
      <c r="E87" s="1171"/>
      <c r="F87" s="1171" t="s">
        <v>1605</v>
      </c>
      <c r="G87" s="1171" t="s">
        <v>344</v>
      </c>
      <c r="H87" s="1171"/>
      <c r="I87" s="1171"/>
      <c r="J87" s="314"/>
    </row>
    <row r="88" spans="2:10" ht="13">
      <c r="B88" s="1188"/>
      <c r="C88" s="314"/>
      <c r="D88" s="314"/>
      <c r="E88" s="1171"/>
      <c r="F88" s="1171" t="s">
        <v>1606</v>
      </c>
      <c r="G88" s="1171" t="s">
        <v>274</v>
      </c>
      <c r="H88" s="1171" t="s">
        <v>345</v>
      </c>
      <c r="I88" s="1171" t="s">
        <v>346</v>
      </c>
      <c r="J88" s="314"/>
    </row>
    <row r="89" spans="2:10" ht="13">
      <c r="B89" s="1180" t="s">
        <v>1089</v>
      </c>
      <c r="C89" s="314"/>
      <c r="D89" s="314"/>
      <c r="E89" s="1171" t="s">
        <v>59</v>
      </c>
      <c r="F89" s="1174" t="s">
        <v>1607</v>
      </c>
      <c r="G89" s="1171" t="s">
        <v>347</v>
      </c>
      <c r="H89" s="1171" t="s">
        <v>347</v>
      </c>
      <c r="I89" s="1171" t="s">
        <v>347</v>
      </c>
      <c r="J89" s="1171" t="s">
        <v>351</v>
      </c>
    </row>
    <row r="90" spans="2:10">
      <c r="B90" s="1189"/>
      <c r="C90" s="1211"/>
      <c r="D90" s="1212"/>
      <c r="E90" s="1190"/>
      <c r="F90" s="1190"/>
      <c r="G90" s="1190"/>
      <c r="H90" s="1190"/>
      <c r="I90" s="1190"/>
      <c r="J90" s="1191"/>
    </row>
    <row r="91" spans="2:10">
      <c r="B91" s="1189"/>
      <c r="C91" s="1211"/>
      <c r="D91" s="1213"/>
      <c r="E91" s="1190"/>
      <c r="F91" s="1190"/>
      <c r="G91" s="1190"/>
      <c r="H91" s="1190"/>
      <c r="I91" s="1190"/>
      <c r="J91" s="1191"/>
    </row>
    <row r="92" spans="2:10">
      <c r="B92" s="1189"/>
      <c r="C92" s="1211"/>
      <c r="D92" s="1213"/>
      <c r="E92" s="1190"/>
      <c r="F92" s="1190"/>
      <c r="G92" s="1190"/>
      <c r="H92" s="1190"/>
      <c r="I92" s="1190"/>
      <c r="J92" s="1191"/>
    </row>
    <row r="93" spans="2:10">
      <c r="B93" s="1189"/>
      <c r="C93" s="1211"/>
      <c r="D93" s="1213"/>
      <c r="E93" s="1190"/>
      <c r="F93" s="1190"/>
      <c r="G93" s="1190"/>
      <c r="H93" s="1190"/>
      <c r="I93" s="1190"/>
      <c r="J93" s="1191"/>
    </row>
    <row r="94" spans="2:10">
      <c r="B94" s="1189"/>
      <c r="C94" s="1211"/>
      <c r="D94" s="1213"/>
      <c r="E94" s="1190"/>
      <c r="F94" s="1190"/>
      <c r="G94" s="1190"/>
      <c r="H94" s="1190"/>
      <c r="I94" s="1190"/>
      <c r="J94" s="1191"/>
    </row>
    <row r="95" spans="2:10">
      <c r="B95" s="1189"/>
      <c r="C95" s="1211"/>
      <c r="D95" s="1213"/>
      <c r="E95" s="1190"/>
      <c r="F95" s="1190"/>
      <c r="G95" s="1190"/>
      <c r="H95" s="1190"/>
      <c r="I95" s="1190"/>
      <c r="J95" s="1191"/>
    </row>
    <row r="96" spans="2:10">
      <c r="B96" s="1189"/>
      <c r="C96" s="1211"/>
      <c r="D96" s="1212"/>
      <c r="E96" s="1214"/>
      <c r="F96" s="1214"/>
      <c r="G96" s="1214"/>
      <c r="H96" s="1214"/>
      <c r="I96" s="1214"/>
      <c r="J96" s="1215"/>
    </row>
    <row r="97" spans="2:10" ht="13">
      <c r="B97" s="1197" t="s">
        <v>1090</v>
      </c>
      <c r="C97" s="1194"/>
      <c r="D97" s="1194"/>
      <c r="E97" s="1195">
        <f>SUM(E90:E96)</f>
        <v>0</v>
      </c>
      <c r="F97" s="1195">
        <f>SUM(F90:F96)</f>
        <v>0</v>
      </c>
      <c r="G97" s="1195">
        <f>SUM(G90:G96)</f>
        <v>0</v>
      </c>
      <c r="H97" s="1195">
        <f>SUM(H90:H96)</f>
        <v>0</v>
      </c>
      <c r="I97" s="1195">
        <f>SUM(I90:I96)</f>
        <v>0</v>
      </c>
      <c r="J97" s="1196"/>
    </row>
    <row r="98" spans="2:10" ht="13">
      <c r="B98" s="1197"/>
      <c r="C98" s="1194"/>
      <c r="D98" s="1194"/>
      <c r="E98" s="1195"/>
      <c r="F98" s="1195"/>
      <c r="G98" s="1195"/>
      <c r="H98" s="1195"/>
      <c r="I98" s="1195"/>
      <c r="J98" s="1196"/>
    </row>
    <row r="99" spans="2:10">
      <c r="B99" s="1216" t="s">
        <v>1612</v>
      </c>
      <c r="C99" s="1217"/>
      <c r="D99" s="1218"/>
      <c r="E99" s="1200"/>
      <c r="F99" s="1190"/>
      <c r="G99" s="1190"/>
      <c r="H99" s="1190"/>
      <c r="I99" s="1190"/>
      <c r="J99" s="1201"/>
    </row>
    <row r="100" spans="2:10">
      <c r="B100" s="1198" t="s">
        <v>1613</v>
      </c>
      <c r="C100" s="1199"/>
      <c r="D100" s="1218"/>
      <c r="E100" s="1200"/>
      <c r="F100" s="1190"/>
      <c r="G100" s="1190"/>
      <c r="H100" s="1190"/>
      <c r="I100" s="1190"/>
      <c r="J100" s="1201"/>
    </row>
    <row r="101" spans="2:10">
      <c r="B101" s="1198" t="s">
        <v>1614</v>
      </c>
      <c r="C101" s="1199"/>
      <c r="D101" s="1218"/>
      <c r="E101" s="1200"/>
      <c r="F101" s="1190"/>
      <c r="G101" s="1190"/>
      <c r="H101" s="1190"/>
      <c r="I101" s="1190"/>
      <c r="J101" s="1201"/>
    </row>
    <row r="102" spans="2:10">
      <c r="B102" s="1198" t="s">
        <v>1162</v>
      </c>
      <c r="C102" s="1199"/>
      <c r="D102" s="1218"/>
      <c r="E102" s="1200"/>
      <c r="F102" s="1190"/>
      <c r="G102" s="1190"/>
      <c r="H102" s="1190"/>
      <c r="I102" s="1190"/>
      <c r="J102" s="1201"/>
    </row>
    <row r="103" spans="2:10" ht="5.15" customHeight="1">
      <c r="B103" s="1192"/>
      <c r="C103" s="1193"/>
      <c r="D103" s="1194"/>
      <c r="E103" s="1195"/>
      <c r="F103" s="1195"/>
      <c r="G103" s="1195"/>
      <c r="H103" s="1195"/>
      <c r="I103" s="1195"/>
      <c r="J103" s="1196"/>
    </row>
    <row r="104" spans="2:10" ht="13">
      <c r="B104" s="1219" t="s">
        <v>1091</v>
      </c>
      <c r="C104" s="1220"/>
      <c r="D104" s="1194"/>
      <c r="E104" s="1195">
        <f>SUM(E99:E103)+E97</f>
        <v>0</v>
      </c>
      <c r="F104" s="1195">
        <f>SUM(F99:F103)+F97</f>
        <v>0</v>
      </c>
      <c r="G104" s="1195">
        <f>SUM(G99:G103)+G97</f>
        <v>0</v>
      </c>
      <c r="H104" s="1195">
        <f>SUM(H99:H103)+H97</f>
        <v>0</v>
      </c>
      <c r="I104" s="1195">
        <f>SUM(I99:I103)+I97</f>
        <v>0</v>
      </c>
      <c r="J104" s="1196"/>
    </row>
    <row r="105" spans="2:10" ht="13">
      <c r="B105" s="1221"/>
      <c r="C105" s="1222"/>
      <c r="D105" s="1222"/>
      <c r="E105" s="1205"/>
      <c r="F105" s="1195"/>
      <c r="G105" s="1195"/>
      <c r="H105" s="1195"/>
      <c r="I105" s="1195"/>
      <c r="J105" s="1207"/>
    </row>
    <row r="106" spans="2:10" ht="13">
      <c r="B106" s="1223" t="s">
        <v>350</v>
      </c>
      <c r="C106" s="1224"/>
      <c r="D106" s="1204"/>
      <c r="E106" s="1205"/>
      <c r="F106" s="1205"/>
      <c r="G106" s="1205"/>
      <c r="H106" s="1205"/>
      <c r="I106" s="1206">
        <f>+'ATT H-9A'!$H$24</f>
        <v>0.14248734844503233</v>
      </c>
      <c r="J106" s="1207"/>
    </row>
    <row r="107" spans="2:10" ht="13">
      <c r="B107" s="1202" t="s">
        <v>297</v>
      </c>
      <c r="C107" s="1203"/>
      <c r="D107" s="1204"/>
      <c r="E107" s="1205"/>
      <c r="F107" s="1205"/>
      <c r="G107" s="1205"/>
      <c r="H107" s="1206">
        <f>+'ATT H-9A'!$H$45</f>
        <v>0.17754725405156993</v>
      </c>
      <c r="I107" s="1205"/>
      <c r="J107" s="1207"/>
    </row>
    <row r="108" spans="2:10" ht="13">
      <c r="B108" s="1202" t="s">
        <v>1086</v>
      </c>
      <c r="C108" s="1203"/>
      <c r="D108" s="1204"/>
      <c r="E108" s="1205"/>
      <c r="F108" s="1205"/>
      <c r="G108" s="1206">
        <v>1</v>
      </c>
      <c r="H108" s="1205"/>
      <c r="I108" s="1205"/>
      <c r="J108" s="1207"/>
    </row>
    <row r="109" spans="2:10" ht="13">
      <c r="B109" s="1202" t="s">
        <v>1087</v>
      </c>
      <c r="C109" s="1203"/>
      <c r="D109" s="1204"/>
      <c r="E109" s="1205"/>
      <c r="F109" s="1206">
        <v>0</v>
      </c>
      <c r="G109" s="1205"/>
      <c r="H109" s="1205"/>
      <c r="I109" s="1205"/>
      <c r="J109" s="1207"/>
    </row>
    <row r="110" spans="2:10" ht="13">
      <c r="B110" s="1208" t="s">
        <v>1088</v>
      </c>
      <c r="C110" s="1203"/>
      <c r="D110" s="1204"/>
      <c r="E110" s="1205">
        <f>F110+G110+H110+I110</f>
        <v>0</v>
      </c>
      <c r="F110" s="1205">
        <f>F109*F104</f>
        <v>0</v>
      </c>
      <c r="G110" s="1205">
        <f>G104*G108</f>
        <v>0</v>
      </c>
      <c r="H110" s="1205">
        <f>H104*H107</f>
        <v>0</v>
      </c>
      <c r="I110" s="1205">
        <f>I106*I104</f>
        <v>0</v>
      </c>
      <c r="J110" s="1207"/>
    </row>
    <row r="111" spans="2:10" ht="13">
      <c r="B111" s="1209"/>
      <c r="E111" s="1178"/>
      <c r="F111" s="1178"/>
      <c r="G111" s="1178"/>
      <c r="H111" s="1178"/>
      <c r="I111" s="1178"/>
      <c r="J111" s="1210"/>
    </row>
    <row r="112" spans="2:10" ht="13">
      <c r="B112" s="1209"/>
      <c r="E112" s="1178"/>
      <c r="F112" s="1178"/>
      <c r="G112" s="1178"/>
      <c r="H112" s="1178"/>
      <c r="I112" s="1178"/>
      <c r="J112" s="1210"/>
    </row>
    <row r="113" spans="2:11" ht="13">
      <c r="B113" s="1171" t="s">
        <v>216</v>
      </c>
      <c r="C113" s="1171"/>
      <c r="D113" s="1171"/>
      <c r="E113" s="1171" t="s">
        <v>217</v>
      </c>
      <c r="F113" s="1171" t="s">
        <v>1318</v>
      </c>
      <c r="G113" s="1171" t="s">
        <v>1566</v>
      </c>
      <c r="H113" s="1171" t="s">
        <v>1567</v>
      </c>
      <c r="I113" s="1171" t="s">
        <v>1568</v>
      </c>
      <c r="J113" s="1171" t="s">
        <v>1569</v>
      </c>
    </row>
    <row r="114" spans="2:11" ht="13">
      <c r="B114" s="1180"/>
      <c r="C114" s="314"/>
      <c r="D114" s="314"/>
      <c r="E114" s="1171"/>
      <c r="F114" s="1171" t="s">
        <v>1605</v>
      </c>
      <c r="G114" s="1171" t="s">
        <v>344</v>
      </c>
      <c r="H114" s="1171"/>
      <c r="I114" s="1171"/>
      <c r="J114" s="314"/>
    </row>
    <row r="115" spans="2:11" ht="13">
      <c r="B115" s="1225"/>
      <c r="C115" s="314"/>
      <c r="D115" s="314"/>
      <c r="E115" s="1171"/>
      <c r="F115" s="1171" t="s">
        <v>1606</v>
      </c>
      <c r="G115" s="1171" t="s">
        <v>274</v>
      </c>
      <c r="H115" s="1171" t="s">
        <v>345</v>
      </c>
      <c r="I115" s="1171" t="s">
        <v>346</v>
      </c>
      <c r="J115" s="314"/>
    </row>
    <row r="116" spans="2:11" ht="13">
      <c r="B116" s="1180" t="s">
        <v>1615</v>
      </c>
      <c r="E116" s="1171" t="s">
        <v>59</v>
      </c>
      <c r="F116" s="1174" t="s">
        <v>1607</v>
      </c>
      <c r="G116" s="1171" t="s">
        <v>347</v>
      </c>
      <c r="H116" s="1171" t="s">
        <v>347</v>
      </c>
      <c r="I116" s="1171" t="s">
        <v>347</v>
      </c>
      <c r="J116" s="1171" t="s">
        <v>351</v>
      </c>
    </row>
    <row r="117" spans="2:11">
      <c r="B117" s="1204" t="s">
        <v>1083</v>
      </c>
      <c r="C117" s="1204"/>
      <c r="D117" s="1204"/>
      <c r="E117" s="1195">
        <f>SUM(F117:I117)</f>
        <v>211697931.52652732</v>
      </c>
      <c r="F117" s="1205">
        <f>F70</f>
        <v>195915420.7060515</v>
      </c>
      <c r="G117" s="1205">
        <f>G70</f>
        <v>0</v>
      </c>
      <c r="H117" s="1205">
        <f>H70</f>
        <v>4085693.429592208</v>
      </c>
      <c r="I117" s="1205">
        <f>I70</f>
        <v>11696817.390883598</v>
      </c>
      <c r="J117" s="1207"/>
    </row>
    <row r="118" spans="2:11">
      <c r="B118" s="1204" t="s">
        <v>1089</v>
      </c>
      <c r="C118" s="1204"/>
      <c r="D118" s="1204"/>
      <c r="E118" s="1195">
        <f>SUM(F118:I118)</f>
        <v>0</v>
      </c>
      <c r="F118" s="1205">
        <f>F97</f>
        <v>0</v>
      </c>
      <c r="G118" s="1205">
        <f>G97</f>
        <v>0</v>
      </c>
      <c r="H118" s="1205">
        <f>H97</f>
        <v>0</v>
      </c>
      <c r="I118" s="1205">
        <f>I97</f>
        <v>0</v>
      </c>
      <c r="J118" s="1207"/>
    </row>
    <row r="119" spans="2:11" ht="13">
      <c r="B119" s="1226" t="s">
        <v>1092</v>
      </c>
      <c r="C119" s="1204"/>
      <c r="D119" s="1204"/>
      <c r="E119" s="1205">
        <f>E117+E118</f>
        <v>211697931.52652732</v>
      </c>
      <c r="F119" s="1205">
        <f>F117+F118</f>
        <v>195915420.7060515</v>
      </c>
      <c r="G119" s="1205">
        <f>G117+G118</f>
        <v>0</v>
      </c>
      <c r="H119" s="1205">
        <f>H117+H118</f>
        <v>4085693.429592208</v>
      </c>
      <c r="I119" s="1205">
        <f>I117+I118</f>
        <v>11696817.390883598</v>
      </c>
      <c r="J119" s="1207"/>
    </row>
    <row r="120" spans="2:11" ht="13">
      <c r="B120" s="1209"/>
      <c r="E120" s="1178"/>
      <c r="F120" s="1178"/>
      <c r="G120" s="1178"/>
      <c r="H120" s="1178"/>
      <c r="I120" s="1178"/>
      <c r="J120" s="1210"/>
    </row>
    <row r="121" spans="2:11" ht="13">
      <c r="B121" s="1209"/>
      <c r="E121" s="1178"/>
      <c r="F121" s="1178"/>
      <c r="G121" s="1178"/>
      <c r="H121" s="1178"/>
      <c r="I121" s="1178"/>
      <c r="J121" s="1210"/>
    </row>
    <row r="122" spans="2:11" s="314" customFormat="1" ht="12.75" customHeight="1">
      <c r="B122" s="1227" t="s">
        <v>363</v>
      </c>
      <c r="C122" s="1227"/>
      <c r="E122" s="1228"/>
      <c r="G122" s="1228"/>
      <c r="H122" s="1229"/>
      <c r="I122" s="1230"/>
      <c r="J122" s="1231"/>
    </row>
    <row r="123" spans="2:11" s="314" customFormat="1" ht="15.75" customHeight="1">
      <c r="B123" s="1845" t="s">
        <v>1616</v>
      </c>
      <c r="C123" s="1845"/>
      <c r="D123" s="1845"/>
      <c r="E123" s="1845"/>
      <c r="F123" s="1845"/>
      <c r="G123" s="1845"/>
      <c r="H123" s="1845"/>
      <c r="I123" s="1845"/>
      <c r="J123" s="1232"/>
    </row>
    <row r="124" spans="2:11" s="314" customFormat="1" ht="13">
      <c r="B124" s="1233" t="s">
        <v>364</v>
      </c>
      <c r="C124" s="1233"/>
      <c r="H124" s="1230"/>
      <c r="I124" s="1230"/>
      <c r="J124" s="1231"/>
    </row>
    <row r="125" spans="2:11" s="314" customFormat="1" ht="13">
      <c r="B125" s="1233" t="s">
        <v>365</v>
      </c>
      <c r="C125" s="1233"/>
      <c r="H125" s="1230"/>
      <c r="I125" s="1230"/>
      <c r="J125" s="1232"/>
    </row>
    <row r="126" spans="2:11" s="314" customFormat="1" ht="13">
      <c r="B126" s="1233" t="s">
        <v>366</v>
      </c>
      <c r="C126" s="1233"/>
      <c r="H126" s="1230"/>
      <c r="I126" s="1230"/>
      <c r="J126" s="1231"/>
    </row>
    <row r="127" spans="2:11" s="314" customFormat="1" ht="15.75" customHeight="1">
      <c r="B127" s="1845" t="s">
        <v>1093</v>
      </c>
      <c r="C127" s="1845"/>
      <c r="D127" s="1845"/>
      <c r="E127" s="1845"/>
      <c r="F127" s="1845"/>
      <c r="G127" s="1845"/>
      <c r="H127" s="1845"/>
      <c r="I127" s="1845"/>
      <c r="K127" s="1234"/>
    </row>
    <row r="128" spans="2:11" s="314" customFormat="1" ht="15.75" customHeight="1">
      <c r="B128" s="1845"/>
      <c r="C128" s="1845"/>
      <c r="D128" s="1845"/>
      <c r="E128" s="1845"/>
      <c r="F128" s="1845"/>
      <c r="G128" s="1845"/>
      <c r="H128" s="1845"/>
      <c r="I128" s="1845"/>
      <c r="K128" s="1234"/>
    </row>
    <row r="129" spans="2:10" s="314" customFormat="1" ht="13">
      <c r="B129" s="1233" t="s">
        <v>1094</v>
      </c>
      <c r="C129" s="1233"/>
      <c r="H129" s="1230"/>
      <c r="I129" s="1230"/>
      <c r="J129" s="1231"/>
    </row>
    <row r="130" spans="2:10" ht="13">
      <c r="C130" s="1209"/>
      <c r="E130" s="1181"/>
      <c r="F130" s="1181"/>
      <c r="H130" s="1235"/>
      <c r="I130" s="1236"/>
      <c r="J130" s="1210"/>
    </row>
    <row r="131" spans="2:10" ht="13">
      <c r="B131" s="1209"/>
      <c r="C131" s="1237"/>
      <c r="E131" s="1186"/>
    </row>
    <row r="132" spans="2:10" ht="13">
      <c r="B132" s="1171" t="s">
        <v>216</v>
      </c>
      <c r="C132" s="1171"/>
      <c r="D132" s="1171"/>
      <c r="E132" s="1171" t="s">
        <v>217</v>
      </c>
      <c r="F132" s="1171" t="s">
        <v>1318</v>
      </c>
      <c r="G132" s="1171" t="s">
        <v>1566</v>
      </c>
      <c r="H132" s="1171" t="s">
        <v>1567</v>
      </c>
      <c r="I132" s="1171" t="s">
        <v>1568</v>
      </c>
      <c r="J132" s="1171" t="s">
        <v>1569</v>
      </c>
    </row>
    <row r="133" spans="2:10" ht="13">
      <c r="B133" s="1180"/>
      <c r="C133" s="314"/>
      <c r="D133" s="314"/>
      <c r="E133" s="1171"/>
      <c r="F133" s="1171" t="s">
        <v>1605</v>
      </c>
      <c r="G133" s="1171" t="s">
        <v>344</v>
      </c>
      <c r="H133" s="1171"/>
      <c r="I133" s="1171"/>
      <c r="J133" s="314"/>
    </row>
    <row r="134" spans="2:10" ht="13">
      <c r="B134" s="1180"/>
      <c r="C134" s="1188"/>
      <c r="D134" s="314"/>
      <c r="E134" s="1171"/>
      <c r="F134" s="1171" t="s">
        <v>1606</v>
      </c>
      <c r="G134" s="1171" t="s">
        <v>274</v>
      </c>
      <c r="H134" s="1171" t="s">
        <v>345</v>
      </c>
      <c r="I134" s="1171" t="s">
        <v>346</v>
      </c>
      <c r="J134" s="314"/>
    </row>
    <row r="135" spans="2:10" ht="13">
      <c r="B135" s="1180" t="s">
        <v>1095</v>
      </c>
      <c r="C135" s="314"/>
      <c r="D135" s="314"/>
      <c r="E135" s="1171" t="s">
        <v>59</v>
      </c>
      <c r="F135" s="1174" t="s">
        <v>1607</v>
      </c>
      <c r="G135" s="1171" t="s">
        <v>347</v>
      </c>
      <c r="H135" s="1171" t="s">
        <v>347</v>
      </c>
      <c r="I135" s="1171" t="s">
        <v>347</v>
      </c>
      <c r="J135" s="1171" t="s">
        <v>351</v>
      </c>
    </row>
    <row r="136" spans="2:10">
      <c r="B136" s="1368" t="s">
        <v>2159</v>
      </c>
      <c r="C136" s="1369"/>
      <c r="D136" s="1370"/>
      <c r="E136" s="1367">
        <f>SUM(F136:I136)</f>
        <v>-919823436.26935041</v>
      </c>
      <c r="F136" s="1367">
        <v>9826178.632545596</v>
      </c>
      <c r="G136" s="1367">
        <v>0</v>
      </c>
      <c r="H136" s="1367">
        <v>-929649614.901896</v>
      </c>
      <c r="I136" s="1367">
        <v>0</v>
      </c>
      <c r="J136" s="1239" t="s">
        <v>1909</v>
      </c>
    </row>
    <row r="137" spans="2:10">
      <c r="B137" s="1368" t="s">
        <v>2160</v>
      </c>
      <c r="C137" s="1371"/>
      <c r="D137" s="1372"/>
      <c r="E137" s="1367">
        <f t="shared" ref="E137:E140" si="5">SUM(F137:I137)</f>
        <v>61748854.943121701</v>
      </c>
      <c r="F137" s="1367">
        <v>61748854.943121701</v>
      </c>
      <c r="G137" s="1367">
        <v>0</v>
      </c>
      <c r="H137" s="1367">
        <v>0</v>
      </c>
      <c r="I137" s="1367">
        <v>0</v>
      </c>
      <c r="J137" s="1239" t="s">
        <v>1910</v>
      </c>
    </row>
    <row r="138" spans="2:10" ht="37.5">
      <c r="B138" s="1368" t="s">
        <v>1896</v>
      </c>
      <c r="C138" s="1369"/>
      <c r="D138" s="1372"/>
      <c r="E138" s="1367">
        <f t="shared" si="5"/>
        <v>-68097226.602454484</v>
      </c>
      <c r="F138" s="1367">
        <v>-55645166.057632253</v>
      </c>
      <c r="G138" s="1367">
        <v>-12452060.544822235</v>
      </c>
      <c r="H138" s="1367">
        <v>0</v>
      </c>
      <c r="I138" s="1367">
        <v>0</v>
      </c>
      <c r="J138" s="1416" t="s">
        <v>1911</v>
      </c>
    </row>
    <row r="139" spans="2:10">
      <c r="B139" s="1368" t="s">
        <v>1897</v>
      </c>
      <c r="C139" s="1369"/>
      <c r="D139" s="1372"/>
      <c r="E139" s="1367">
        <f t="shared" si="5"/>
        <v>81567337.582082987</v>
      </c>
      <c r="F139" s="1367">
        <v>43671355.008041672</v>
      </c>
      <c r="G139" s="1367">
        <v>0</v>
      </c>
      <c r="H139" s="1367">
        <v>37895982.574041322</v>
      </c>
      <c r="I139" s="1367">
        <v>0</v>
      </c>
      <c r="J139" s="1239" t="s">
        <v>2158</v>
      </c>
    </row>
    <row r="140" spans="2:10" ht="25">
      <c r="B140" s="1368" t="s">
        <v>1898</v>
      </c>
      <c r="C140" s="1369"/>
      <c r="D140" s="1372"/>
      <c r="E140" s="1367">
        <f t="shared" si="5"/>
        <v>-60225742.682597101</v>
      </c>
      <c r="F140" s="1367">
        <v>-60225742.682597101</v>
      </c>
      <c r="G140" s="1367">
        <v>0</v>
      </c>
      <c r="H140" s="1367">
        <v>0</v>
      </c>
      <c r="I140" s="1367">
        <v>0</v>
      </c>
      <c r="J140" s="1239" t="s">
        <v>1912</v>
      </c>
    </row>
    <row r="141" spans="2:10" ht="13">
      <c r="B141" s="1197" t="s">
        <v>1096</v>
      </c>
      <c r="C141" s="1194"/>
      <c r="D141" s="1194"/>
      <c r="E141" s="1195">
        <f>SUM(E136:E140)</f>
        <v>-904830213.02919745</v>
      </c>
      <c r="F141" s="1195">
        <f>SUM(F136:F140)</f>
        <v>-624520.15652038902</v>
      </c>
      <c r="G141" s="1195">
        <f>SUM(G136:G140)</f>
        <v>-12452060.544822235</v>
      </c>
      <c r="H141" s="1195">
        <f>SUM(H136:H140)</f>
        <v>-891753632.32785463</v>
      </c>
      <c r="I141" s="1195">
        <f>SUM(I136:I140)</f>
        <v>0</v>
      </c>
      <c r="J141" s="1196"/>
    </row>
    <row r="142" spans="2:10" ht="13">
      <c r="B142" s="1197"/>
      <c r="C142" s="1194"/>
      <c r="D142" s="1194"/>
      <c r="E142" s="1195"/>
      <c r="F142" s="1195"/>
      <c r="G142" s="1195"/>
      <c r="H142" s="1195"/>
      <c r="I142" s="1195"/>
      <c r="J142" s="1196"/>
    </row>
    <row r="143" spans="2:10">
      <c r="B143" s="1216" t="s">
        <v>1612</v>
      </c>
      <c r="C143" s="1217"/>
      <c r="D143" s="1218"/>
      <c r="E143" s="1200">
        <f>SUM(F143:I143)</f>
        <v>16554387.674555428</v>
      </c>
      <c r="F143" s="1190">
        <f>-F139-F140</f>
        <v>16554387.674555428</v>
      </c>
      <c r="G143" s="1190">
        <f t="shared" ref="G143:I143" si="6">-G139-G140</f>
        <v>0</v>
      </c>
      <c r="H143" s="1190">
        <v>0</v>
      </c>
      <c r="I143" s="1190">
        <f t="shared" si="6"/>
        <v>0</v>
      </c>
      <c r="J143" s="1201"/>
    </row>
    <row r="144" spans="2:10">
      <c r="B144" s="1198" t="s">
        <v>1913</v>
      </c>
      <c r="C144" s="1199"/>
      <c r="D144" s="1218"/>
      <c r="E144" s="1200">
        <f t="shared" ref="E144:E146" si="7">SUM(F144:I144)</f>
        <v>68097226.602454484</v>
      </c>
      <c r="F144" s="1190">
        <f>-F138</f>
        <v>55645166.057632253</v>
      </c>
      <c r="G144" s="1190">
        <f t="shared" ref="G144:I144" si="8">-G138</f>
        <v>12452060.544822235</v>
      </c>
      <c r="H144" s="1190">
        <f t="shared" si="8"/>
        <v>0</v>
      </c>
      <c r="I144" s="1190">
        <f t="shared" si="8"/>
        <v>0</v>
      </c>
      <c r="J144" s="1201"/>
    </row>
    <row r="145" spans="2:10">
      <c r="B145" s="1198" t="s">
        <v>1614</v>
      </c>
      <c r="C145" s="1199"/>
      <c r="D145" s="1218"/>
      <c r="E145" s="1200">
        <f t="shared" si="7"/>
        <v>0</v>
      </c>
      <c r="F145" s="1190">
        <v>0</v>
      </c>
      <c r="G145" s="1190">
        <f t="shared" ref="G145:I145" si="9">-G140</f>
        <v>0</v>
      </c>
      <c r="H145" s="1190">
        <f t="shared" si="9"/>
        <v>0</v>
      </c>
      <c r="I145" s="1190">
        <f t="shared" si="9"/>
        <v>0</v>
      </c>
      <c r="J145" s="1201"/>
    </row>
    <row r="146" spans="2:10">
      <c r="B146" s="1198" t="s">
        <v>1162</v>
      </c>
      <c r="C146" s="1199"/>
      <c r="D146" s="1218"/>
      <c r="E146" s="1200">
        <f t="shared" si="7"/>
        <v>0</v>
      </c>
      <c r="F146" s="1190">
        <v>0</v>
      </c>
      <c r="G146" s="1190">
        <v>0</v>
      </c>
      <c r="H146" s="1190">
        <v>0</v>
      </c>
      <c r="I146" s="1190">
        <v>0</v>
      </c>
      <c r="J146" s="1201"/>
    </row>
    <row r="147" spans="2:10" ht="5.15" customHeight="1">
      <c r="B147" s="1192"/>
      <c r="C147" s="1193"/>
      <c r="D147" s="1194"/>
      <c r="E147" s="1195"/>
      <c r="F147" s="1195"/>
      <c r="G147" s="1195"/>
      <c r="H147" s="1195"/>
      <c r="I147" s="1195"/>
      <c r="J147" s="1196"/>
    </row>
    <row r="148" spans="2:10" ht="13">
      <c r="B148" s="1219" t="s">
        <v>1097</v>
      </c>
      <c r="C148" s="1220"/>
      <c r="D148" s="1194"/>
      <c r="E148" s="1195">
        <f>SUM(E143:E146)+E141</f>
        <v>-820178598.75218749</v>
      </c>
      <c r="F148" s="1195">
        <f>SUM(F143:F146)+F141</f>
        <v>71575033.575667292</v>
      </c>
      <c r="G148" s="1195">
        <f>SUM(G143:G146)+G141</f>
        <v>0</v>
      </c>
      <c r="H148" s="1195">
        <f>SUM(H143:H146)+H141</f>
        <v>-891753632.32785463</v>
      </c>
      <c r="I148" s="1195">
        <f>SUM(I143:I146)+I141</f>
        <v>0</v>
      </c>
      <c r="J148" s="1196"/>
    </row>
    <row r="149" spans="2:10" ht="13">
      <c r="B149" s="1221"/>
      <c r="C149" s="1222"/>
      <c r="D149" s="1222"/>
      <c r="E149" s="1205"/>
      <c r="F149" s="1195"/>
      <c r="G149" s="1195"/>
      <c r="H149" s="1195"/>
      <c r="I149" s="1195"/>
      <c r="J149" s="1207"/>
    </row>
    <row r="150" spans="2:10" ht="13">
      <c r="B150" s="1223" t="s">
        <v>350</v>
      </c>
      <c r="C150" s="1224"/>
      <c r="D150" s="1204"/>
      <c r="E150" s="1205"/>
      <c r="F150" s="1205"/>
      <c r="G150" s="1205"/>
      <c r="H150" s="1205"/>
      <c r="I150" s="1206">
        <f>+'ATT H-9A'!$H$24</f>
        <v>0.14248734844503233</v>
      </c>
      <c r="J150" s="1207"/>
    </row>
    <row r="151" spans="2:10" ht="13">
      <c r="B151" s="1202" t="s">
        <v>297</v>
      </c>
      <c r="C151" s="1203"/>
      <c r="D151" s="1204"/>
      <c r="E151" s="1205"/>
      <c r="F151" s="1205"/>
      <c r="G151" s="1205"/>
      <c r="H151" s="1206">
        <f>+'ATT H-9A'!$H$45</f>
        <v>0.17754725405156993</v>
      </c>
      <c r="I151" s="1205"/>
      <c r="J151" s="1207"/>
    </row>
    <row r="152" spans="2:10" ht="13">
      <c r="B152" s="1202" t="s">
        <v>1086</v>
      </c>
      <c r="C152" s="1203"/>
      <c r="D152" s="1204"/>
      <c r="E152" s="1205"/>
      <c r="F152" s="1205"/>
      <c r="G152" s="1206">
        <v>1</v>
      </c>
      <c r="H152" s="1205"/>
      <c r="I152" s="1205"/>
      <c r="J152" s="1207"/>
    </row>
    <row r="153" spans="2:10" ht="13">
      <c r="B153" s="1202" t="s">
        <v>1087</v>
      </c>
      <c r="C153" s="1203"/>
      <c r="D153" s="1204"/>
      <c r="E153" s="1205"/>
      <c r="F153" s="1206">
        <v>0</v>
      </c>
      <c r="G153" s="1205"/>
      <c r="H153" s="1205"/>
      <c r="I153" s="1205"/>
      <c r="J153" s="1207"/>
    </row>
    <row r="154" spans="2:10" ht="13">
      <c r="B154" s="1208" t="s">
        <v>1088</v>
      </c>
      <c r="C154" s="1203"/>
      <c r="D154" s="1204"/>
      <c r="E154" s="1205">
        <f>F154+G154+H154+I154</f>
        <v>-158328408.7103239</v>
      </c>
      <c r="F154" s="1205">
        <f>F153*F148</f>
        <v>0</v>
      </c>
      <c r="G154" s="1205">
        <f>G148*G152</f>
        <v>0</v>
      </c>
      <c r="H154" s="1205">
        <f>H148*H151</f>
        <v>-158328408.7103239</v>
      </c>
      <c r="I154" s="1205">
        <f>I150*I148</f>
        <v>0</v>
      </c>
      <c r="J154" s="1207"/>
    </row>
    <row r="155" spans="2:10" ht="17.25" customHeight="1">
      <c r="B155" s="1188"/>
      <c r="C155" s="1188"/>
      <c r="E155" s="1178"/>
      <c r="F155" s="1178"/>
      <c r="G155" s="1178"/>
      <c r="H155" s="1178"/>
      <c r="I155" s="1178"/>
      <c r="J155" s="1210"/>
    </row>
    <row r="156" spans="2:10" ht="13">
      <c r="B156" s="1209"/>
      <c r="E156" s="1178"/>
      <c r="F156" s="1178"/>
      <c r="G156" s="1178"/>
      <c r="H156" s="1178"/>
      <c r="I156" s="1178"/>
      <c r="J156" s="1210"/>
    </row>
    <row r="157" spans="2:10" ht="13">
      <c r="B157" s="1171" t="s">
        <v>216</v>
      </c>
      <c r="C157" s="1171"/>
      <c r="D157" s="1171"/>
      <c r="E157" s="1171" t="s">
        <v>217</v>
      </c>
      <c r="F157" s="1171" t="s">
        <v>1318</v>
      </c>
      <c r="G157" s="1171" t="s">
        <v>1566</v>
      </c>
      <c r="H157" s="1171" t="s">
        <v>1567</v>
      </c>
      <c r="I157" s="1171" t="s">
        <v>1568</v>
      </c>
      <c r="J157" s="1171" t="s">
        <v>1569</v>
      </c>
    </row>
    <row r="158" spans="2:10" ht="13">
      <c r="B158" s="1180"/>
      <c r="C158" s="314"/>
      <c r="D158" s="314"/>
      <c r="E158" s="1171"/>
      <c r="F158" s="1171" t="s">
        <v>1605</v>
      </c>
      <c r="G158" s="1171" t="s">
        <v>344</v>
      </c>
      <c r="H158" s="1171"/>
      <c r="I158" s="1171"/>
      <c r="J158" s="314"/>
    </row>
    <row r="159" spans="2:10" ht="13">
      <c r="B159" s="1180"/>
      <c r="C159" s="314"/>
      <c r="D159" s="314"/>
      <c r="E159" s="1171"/>
      <c r="F159" s="1171" t="s">
        <v>1606</v>
      </c>
      <c r="G159" s="1171" t="s">
        <v>274</v>
      </c>
      <c r="H159" s="1171" t="s">
        <v>345</v>
      </c>
      <c r="I159" s="1171" t="s">
        <v>346</v>
      </c>
      <c r="J159" s="314"/>
    </row>
    <row r="160" spans="2:10" ht="13">
      <c r="B160" s="1180" t="s">
        <v>1098</v>
      </c>
      <c r="C160" s="314"/>
      <c r="D160" s="314"/>
      <c r="E160" s="1171" t="s">
        <v>59</v>
      </c>
      <c r="F160" s="1174" t="s">
        <v>1607</v>
      </c>
      <c r="G160" s="1171" t="s">
        <v>347</v>
      </c>
      <c r="H160" s="1171" t="s">
        <v>347</v>
      </c>
      <c r="I160" s="1171" t="s">
        <v>347</v>
      </c>
      <c r="J160" s="1171" t="s">
        <v>351</v>
      </c>
    </row>
    <row r="161" spans="2:10">
      <c r="B161" s="1238" t="s">
        <v>2159</v>
      </c>
      <c r="C161" s="1211"/>
      <c r="D161" s="1213"/>
      <c r="E161" s="1190">
        <f>SUM(F161:I161)</f>
        <v>-493800172.2507</v>
      </c>
      <c r="F161" s="1190">
        <v>0</v>
      </c>
      <c r="G161" s="1190">
        <v>0</v>
      </c>
      <c r="H161" s="1190">
        <v>-493800172.2507</v>
      </c>
      <c r="I161" s="1190">
        <v>0</v>
      </c>
      <c r="J161" s="1239" t="s">
        <v>1909</v>
      </c>
    </row>
    <row r="162" spans="2:10">
      <c r="B162" s="1238"/>
      <c r="C162" s="1211"/>
      <c r="D162" s="1213"/>
      <c r="E162" s="1190"/>
      <c r="F162" s="1190"/>
      <c r="G162" s="1190"/>
      <c r="H162" s="1190"/>
      <c r="I162" s="1190"/>
      <c r="J162" s="1191"/>
    </row>
    <row r="163" spans="2:10">
      <c r="B163" s="1238"/>
      <c r="C163" s="1211"/>
      <c r="D163" s="1213"/>
      <c r="E163" s="1190"/>
      <c r="F163" s="1190"/>
      <c r="G163" s="1190"/>
      <c r="H163" s="1190"/>
      <c r="I163" s="1190"/>
      <c r="J163" s="1191"/>
    </row>
    <row r="164" spans="2:10">
      <c r="B164" s="1238"/>
      <c r="C164" s="1211"/>
      <c r="D164" s="1213"/>
      <c r="E164" s="1190"/>
      <c r="F164" s="1190"/>
      <c r="G164" s="1190"/>
      <c r="H164" s="1190"/>
      <c r="I164" s="1190"/>
      <c r="J164" s="1191"/>
    </row>
    <row r="165" spans="2:10">
      <c r="B165" s="1238"/>
      <c r="C165" s="1211"/>
      <c r="D165" s="1213"/>
      <c r="E165" s="1190"/>
      <c r="F165" s="1190"/>
      <c r="G165" s="1190"/>
      <c r="H165" s="1190"/>
      <c r="I165" s="1190"/>
      <c r="J165" s="1191"/>
    </row>
    <row r="166" spans="2:10">
      <c r="B166" s="1238"/>
      <c r="C166" s="1211"/>
      <c r="D166" s="1213"/>
      <c r="E166" s="1190"/>
      <c r="F166" s="1190"/>
      <c r="G166" s="1190"/>
      <c r="H166" s="1190"/>
      <c r="I166" s="1190"/>
      <c r="J166" s="1191"/>
    </row>
    <row r="167" spans="2:10">
      <c r="B167" s="1238"/>
      <c r="C167" s="1211"/>
      <c r="D167" s="1212"/>
      <c r="E167" s="1214"/>
      <c r="F167" s="1214"/>
      <c r="G167" s="1214"/>
      <c r="H167" s="1214"/>
      <c r="I167" s="1214"/>
      <c r="J167" s="1215"/>
    </row>
    <row r="168" spans="2:10" ht="13">
      <c r="B168" s="1197" t="s">
        <v>1099</v>
      </c>
      <c r="C168" s="1194"/>
      <c r="D168" s="1194"/>
      <c r="E168" s="1195">
        <f>SUM(E161:E167)</f>
        <v>-493800172.2507</v>
      </c>
      <c r="F168" s="1195">
        <f>SUM(F161:F167)</f>
        <v>0</v>
      </c>
      <c r="G168" s="1195">
        <f>SUM(G161:G167)</f>
        <v>0</v>
      </c>
      <c r="H168" s="1195">
        <f>SUM(H161:H167)</f>
        <v>-493800172.2507</v>
      </c>
      <c r="I168" s="1195">
        <f>SUM(I161:I167)</f>
        <v>0</v>
      </c>
      <c r="J168" s="1196"/>
    </row>
    <row r="169" spans="2:10" ht="13">
      <c r="B169" s="1197"/>
      <c r="C169" s="1194"/>
      <c r="D169" s="1194"/>
      <c r="E169" s="1195"/>
      <c r="F169" s="1195"/>
      <c r="G169" s="1195"/>
      <c r="H169" s="1195"/>
      <c r="I169" s="1195"/>
      <c r="J169" s="1196"/>
    </row>
    <row r="170" spans="2:10">
      <c r="B170" s="1216" t="s">
        <v>1612</v>
      </c>
      <c r="C170" s="1217"/>
      <c r="D170" s="1218"/>
      <c r="E170" s="1200"/>
      <c r="F170" s="1190"/>
      <c r="G170" s="1190"/>
      <c r="H170" s="1190"/>
      <c r="I170" s="1190"/>
      <c r="J170" s="1201"/>
    </row>
    <row r="171" spans="2:10">
      <c r="B171" s="1198" t="s">
        <v>1613</v>
      </c>
      <c r="C171" s="1199"/>
      <c r="D171" s="1218"/>
      <c r="E171" s="1200"/>
      <c r="F171" s="1190"/>
      <c r="G171" s="1190"/>
      <c r="H171" s="1190"/>
      <c r="I171" s="1190"/>
      <c r="J171" s="1201"/>
    </row>
    <row r="172" spans="2:10">
      <c r="B172" s="1198" t="s">
        <v>1614</v>
      </c>
      <c r="C172" s="1199"/>
      <c r="D172" s="1218"/>
      <c r="E172" s="1200"/>
      <c r="F172" s="1190"/>
      <c r="G172" s="1190"/>
      <c r="H172" s="1190"/>
      <c r="I172" s="1190"/>
      <c r="J172" s="1201"/>
    </row>
    <row r="173" spans="2:10">
      <c r="B173" s="1198" t="s">
        <v>1162</v>
      </c>
      <c r="C173" s="1199"/>
      <c r="D173" s="1218"/>
      <c r="E173" s="1200"/>
      <c r="F173" s="1190"/>
      <c r="G173" s="1190"/>
      <c r="H173" s="1190"/>
      <c r="I173" s="1190"/>
      <c r="J173" s="1201"/>
    </row>
    <row r="174" spans="2:10" ht="5.15" customHeight="1">
      <c r="B174" s="1192"/>
      <c r="C174" s="1193"/>
      <c r="D174" s="1194"/>
      <c r="E174" s="1195"/>
      <c r="F174" s="1195"/>
      <c r="G174" s="1195"/>
      <c r="H174" s="1195"/>
      <c r="I174" s="1195"/>
      <c r="J174" s="1196"/>
    </row>
    <row r="175" spans="2:10" ht="13">
      <c r="B175" s="1219" t="s">
        <v>1097</v>
      </c>
      <c r="C175" s="1220"/>
      <c r="D175" s="1194"/>
      <c r="E175" s="1195">
        <f>SUM(E170:E173)+E168</f>
        <v>-493800172.2507</v>
      </c>
      <c r="F175" s="1195">
        <f>SUM(F170:F173)+F168</f>
        <v>0</v>
      </c>
      <c r="G175" s="1195">
        <f>SUM(G170:G173)+G168</f>
        <v>0</v>
      </c>
      <c r="H175" s="1195">
        <f>SUM(H170:H173)+H168</f>
        <v>-493800172.2507</v>
      </c>
      <c r="I175" s="1195">
        <f>SUM(I170:I173)+I168</f>
        <v>0</v>
      </c>
      <c r="J175" s="1196"/>
    </row>
    <row r="176" spans="2:10" ht="13">
      <c r="B176" s="1221"/>
      <c r="C176" s="1222"/>
      <c r="D176" s="1222"/>
      <c r="E176" s="1205"/>
      <c r="F176" s="1195"/>
      <c r="G176" s="1195"/>
      <c r="H176" s="1195"/>
      <c r="I176" s="1195"/>
      <c r="J176" s="1207"/>
    </row>
    <row r="177" spans="2:10" ht="13">
      <c r="B177" s="1223" t="s">
        <v>350</v>
      </c>
      <c r="C177" s="1224"/>
      <c r="D177" s="1204"/>
      <c r="E177" s="1205"/>
      <c r="F177" s="1205"/>
      <c r="G177" s="1205"/>
      <c r="H177" s="1205"/>
      <c r="I177" s="1206">
        <f>+'ATT H-9A'!$H$24</f>
        <v>0.14248734844503233</v>
      </c>
      <c r="J177" s="1207"/>
    </row>
    <row r="178" spans="2:10" ht="13">
      <c r="B178" s="1202" t="s">
        <v>297</v>
      </c>
      <c r="C178" s="1203"/>
      <c r="D178" s="1204"/>
      <c r="E178" s="1205"/>
      <c r="F178" s="1205"/>
      <c r="G178" s="1205"/>
      <c r="H178" s="1206">
        <f>+'ATT H-9A'!$H$45</f>
        <v>0.17754725405156993</v>
      </c>
      <c r="I178" s="1205"/>
      <c r="J178" s="1207"/>
    </row>
    <row r="179" spans="2:10" ht="13">
      <c r="B179" s="1202" t="s">
        <v>1086</v>
      </c>
      <c r="C179" s="1203"/>
      <c r="D179" s="1204"/>
      <c r="E179" s="1205"/>
      <c r="F179" s="1205"/>
      <c r="G179" s="1206">
        <v>1</v>
      </c>
      <c r="H179" s="1205"/>
      <c r="I179" s="1205"/>
      <c r="J179" s="1207"/>
    </row>
    <row r="180" spans="2:10" ht="13">
      <c r="B180" s="1202" t="s">
        <v>1087</v>
      </c>
      <c r="C180" s="1203"/>
      <c r="D180" s="1204"/>
      <c r="E180" s="1205"/>
      <c r="F180" s="1206">
        <v>0</v>
      </c>
      <c r="G180" s="1205"/>
      <c r="H180" s="1205"/>
      <c r="I180" s="1205"/>
      <c r="J180" s="1207"/>
    </row>
    <row r="181" spans="2:10" ht="13">
      <c r="B181" s="1208" t="s">
        <v>1088</v>
      </c>
      <c r="C181" s="1203"/>
      <c r="D181" s="1204"/>
      <c r="E181" s="1205">
        <f>F181+G181+H181+I181</f>
        <v>-87672864.63330403</v>
      </c>
      <c r="F181" s="1205">
        <f>F180*F175</f>
        <v>0</v>
      </c>
      <c r="G181" s="1205">
        <f>G175*G179</f>
        <v>0</v>
      </c>
      <c r="H181" s="1205">
        <f>H175*H178</f>
        <v>-87672864.63330403</v>
      </c>
      <c r="I181" s="1205">
        <f>I177*I175</f>
        <v>0</v>
      </c>
      <c r="J181" s="1207"/>
    </row>
    <row r="182" spans="2:10" ht="13">
      <c r="B182" s="1209"/>
      <c r="E182" s="1178"/>
      <c r="F182" s="1178"/>
      <c r="G182" s="1178"/>
      <c r="H182" s="1178"/>
      <c r="I182" s="1178">
        <f>H182/H178</f>
        <v>0</v>
      </c>
      <c r="J182" s="1210"/>
    </row>
    <row r="183" spans="2:10" ht="13">
      <c r="B183" s="1209"/>
      <c r="E183" s="1178"/>
      <c r="F183" s="1178"/>
      <c r="G183" s="1178"/>
      <c r="H183" s="1178"/>
      <c r="I183" s="1178"/>
      <c r="J183" s="1210"/>
    </row>
    <row r="184" spans="2:10" ht="13">
      <c r="B184" s="1171" t="s">
        <v>216</v>
      </c>
      <c r="C184" s="1171"/>
      <c r="D184" s="1171"/>
      <c r="E184" s="1171" t="s">
        <v>217</v>
      </c>
      <c r="F184" s="1171" t="s">
        <v>1318</v>
      </c>
      <c r="G184" s="1171" t="s">
        <v>1566</v>
      </c>
      <c r="H184" s="1171" t="s">
        <v>1567</v>
      </c>
      <c r="I184" s="1171" t="s">
        <v>1568</v>
      </c>
      <c r="J184" s="1171" t="s">
        <v>1569</v>
      </c>
    </row>
    <row r="185" spans="2:10" ht="13">
      <c r="B185" s="1180"/>
      <c r="C185" s="314"/>
      <c r="D185" s="314"/>
      <c r="E185" s="1171"/>
      <c r="F185" s="1171" t="s">
        <v>1605</v>
      </c>
      <c r="G185" s="1171" t="s">
        <v>344</v>
      </c>
      <c r="H185" s="1171"/>
      <c r="I185" s="1171"/>
      <c r="J185" s="314"/>
    </row>
    <row r="186" spans="2:10" ht="13">
      <c r="B186" s="1180"/>
      <c r="C186" s="314"/>
      <c r="D186" s="314"/>
      <c r="E186" s="1171"/>
      <c r="F186" s="1171" t="s">
        <v>1606</v>
      </c>
      <c r="G186" s="1171" t="s">
        <v>274</v>
      </c>
      <c r="H186" s="1171" t="s">
        <v>345</v>
      </c>
      <c r="I186" s="1171" t="s">
        <v>346</v>
      </c>
      <c r="J186" s="314"/>
    </row>
    <row r="187" spans="2:10" ht="13">
      <c r="B187" s="1180" t="s">
        <v>1100</v>
      </c>
      <c r="C187" s="314"/>
      <c r="D187" s="314"/>
      <c r="E187" s="1171" t="s">
        <v>59</v>
      </c>
      <c r="F187" s="1174" t="s">
        <v>1607</v>
      </c>
      <c r="G187" s="1171" t="s">
        <v>347</v>
      </c>
      <c r="H187" s="1171" t="s">
        <v>347</v>
      </c>
      <c r="I187" s="1171" t="s">
        <v>347</v>
      </c>
      <c r="J187" s="1171" t="s">
        <v>351</v>
      </c>
    </row>
    <row r="188" spans="2:10">
      <c r="B188" s="1204" t="s">
        <v>1101</v>
      </c>
      <c r="C188" s="1204"/>
      <c r="D188" s="1204"/>
      <c r="E188" s="1195">
        <f>SUM(F188:I188)</f>
        <v>-904830213.02919722</v>
      </c>
      <c r="F188" s="1205">
        <f>F141</f>
        <v>-624520.15652038902</v>
      </c>
      <c r="G188" s="1205">
        <f>G141</f>
        <v>-12452060.544822235</v>
      </c>
      <c r="H188" s="1205">
        <f>H141</f>
        <v>-891753632.32785463</v>
      </c>
      <c r="I188" s="1205">
        <f>I141</f>
        <v>0</v>
      </c>
      <c r="J188" s="1207"/>
    </row>
    <row r="189" spans="2:10">
      <c r="B189" s="1204" t="s">
        <v>1098</v>
      </c>
      <c r="C189" s="1204"/>
      <c r="D189" s="1204"/>
      <c r="E189" s="1195">
        <f>SUM(F189:I189)</f>
        <v>-493800172.2507</v>
      </c>
      <c r="F189" s="1205">
        <f>F168</f>
        <v>0</v>
      </c>
      <c r="G189" s="1205">
        <f>G168</f>
        <v>0</v>
      </c>
      <c r="H189" s="1205">
        <f>H168</f>
        <v>-493800172.2507</v>
      </c>
      <c r="I189" s="1205">
        <f>I168</f>
        <v>0</v>
      </c>
      <c r="J189" s="1207"/>
    </row>
    <row r="190" spans="2:10" ht="13">
      <c r="B190" s="1197" t="s">
        <v>1927</v>
      </c>
      <c r="C190" s="1204"/>
      <c r="D190" s="1204"/>
      <c r="E190" s="1205">
        <f>E188+E189</f>
        <v>-1398630385.2798972</v>
      </c>
      <c r="F190" s="1205">
        <f>F188+F189</f>
        <v>-624520.15652038902</v>
      </c>
      <c r="G190" s="1205">
        <f>G188+G189</f>
        <v>-12452060.544822235</v>
      </c>
      <c r="H190" s="1205">
        <f>H188+H189</f>
        <v>-1385553804.5785546</v>
      </c>
      <c r="I190" s="1205">
        <f>I188+I189</f>
        <v>0</v>
      </c>
      <c r="J190" s="1207"/>
    </row>
    <row r="191" spans="2:10" ht="13">
      <c r="B191" s="1209"/>
      <c r="E191" s="1178"/>
      <c r="F191" s="1178"/>
      <c r="G191" s="1178"/>
      <c r="H191" s="1178"/>
      <c r="I191" s="1178"/>
      <c r="J191" s="1210"/>
    </row>
    <row r="192" spans="2:10" s="314" customFormat="1" ht="13">
      <c r="B192" s="1180" t="s">
        <v>368</v>
      </c>
      <c r="G192" s="1230"/>
      <c r="H192" s="1230"/>
      <c r="I192" s="1230"/>
      <c r="J192" s="1231"/>
    </row>
    <row r="193" spans="2:12" s="314" customFormat="1" ht="12.75" customHeight="1">
      <c r="B193" s="1845" t="s">
        <v>1616</v>
      </c>
      <c r="C193" s="1845"/>
      <c r="D193" s="1845"/>
      <c r="E193" s="1845"/>
      <c r="F193" s="1845"/>
      <c r="G193" s="1845"/>
      <c r="H193" s="1845"/>
      <c r="I193" s="1845"/>
      <c r="J193" s="1231"/>
    </row>
    <row r="194" spans="2:12" s="314" customFormat="1" ht="13">
      <c r="B194" s="1233" t="s">
        <v>364</v>
      </c>
      <c r="C194" s="1233"/>
      <c r="H194" s="1230"/>
      <c r="I194" s="1230"/>
      <c r="J194" s="1231"/>
    </row>
    <row r="195" spans="2:12" s="314" customFormat="1" ht="13">
      <c r="B195" s="1233" t="s">
        <v>365</v>
      </c>
      <c r="C195" s="1233"/>
      <c r="H195" s="1230"/>
      <c r="I195" s="1230"/>
      <c r="J195" s="1231"/>
    </row>
    <row r="196" spans="2:12" s="314" customFormat="1" ht="13">
      <c r="B196" s="1233" t="s">
        <v>366</v>
      </c>
      <c r="C196" s="1233"/>
      <c r="H196" s="1230"/>
      <c r="I196" s="1230"/>
      <c r="J196" s="1231"/>
    </row>
    <row r="197" spans="2:12" s="314" customFormat="1" ht="15.75" customHeight="1">
      <c r="B197" s="1845" t="s">
        <v>1093</v>
      </c>
      <c r="C197" s="1845"/>
      <c r="D197" s="1845"/>
      <c r="E197" s="1845"/>
      <c r="F197" s="1845"/>
      <c r="G197" s="1845"/>
      <c r="H197" s="1845"/>
      <c r="I197" s="1845"/>
      <c r="K197" s="1234"/>
    </row>
    <row r="198" spans="2:12" s="314" customFormat="1" ht="15.75" customHeight="1">
      <c r="B198" s="1845"/>
      <c r="C198" s="1845"/>
      <c r="D198" s="1845"/>
      <c r="E198" s="1845"/>
      <c r="F198" s="1845"/>
      <c r="G198" s="1845"/>
      <c r="H198" s="1845"/>
      <c r="I198" s="1845"/>
      <c r="K198" s="1234"/>
    </row>
    <row r="199" spans="2:12" s="314" customFormat="1" ht="13">
      <c r="B199" s="1233" t="s">
        <v>1103</v>
      </c>
      <c r="G199" s="1230"/>
      <c r="H199" s="1230"/>
      <c r="I199" s="1230"/>
      <c r="J199" s="1231"/>
    </row>
    <row r="200" spans="2:12" ht="13">
      <c r="B200" s="1240" t="s">
        <v>1104</v>
      </c>
    </row>
    <row r="201" spans="2:12" ht="12" customHeight="1">
      <c r="B201" s="1241"/>
      <c r="C201" s="1242"/>
      <c r="D201" s="1243"/>
      <c r="E201" s="1243"/>
      <c r="F201" s="1243"/>
      <c r="G201" s="1243"/>
      <c r="H201" s="1243"/>
      <c r="I201" s="1243"/>
      <c r="J201" s="1243"/>
    </row>
    <row r="202" spans="2:12" ht="13">
      <c r="B202" s="1168"/>
    </row>
    <row r="203" spans="2:12" ht="13">
      <c r="B203" s="1171" t="s">
        <v>216</v>
      </c>
      <c r="C203" s="1171"/>
      <c r="D203" s="1171"/>
      <c r="E203" s="1171" t="s">
        <v>217</v>
      </c>
      <c r="F203" s="1171" t="s">
        <v>1318</v>
      </c>
      <c r="G203" s="1171" t="s">
        <v>1566</v>
      </c>
      <c r="H203" s="1171" t="s">
        <v>1567</v>
      </c>
      <c r="I203" s="1171" t="s">
        <v>1568</v>
      </c>
      <c r="J203" s="1171" t="s">
        <v>1569</v>
      </c>
    </row>
    <row r="204" spans="2:12" ht="13">
      <c r="B204" s="1180"/>
      <c r="C204" s="314"/>
      <c r="D204" s="314"/>
      <c r="E204" s="1171"/>
      <c r="F204" s="1171" t="s">
        <v>1605</v>
      </c>
      <c r="G204" s="1171" t="s">
        <v>344</v>
      </c>
      <c r="H204" s="1171"/>
      <c r="I204" s="1171"/>
      <c r="J204" s="314"/>
    </row>
    <row r="205" spans="2:12" ht="13">
      <c r="B205" s="1180"/>
      <c r="C205" s="1188"/>
      <c r="D205" s="314"/>
      <c r="E205" s="1171"/>
      <c r="F205" s="1171" t="s">
        <v>1606</v>
      </c>
      <c r="G205" s="1171" t="s">
        <v>274</v>
      </c>
      <c r="H205" s="1171" t="s">
        <v>345</v>
      </c>
      <c r="I205" s="1171" t="s">
        <v>346</v>
      </c>
      <c r="J205" s="314"/>
      <c r="L205" s="1167" t="s">
        <v>101</v>
      </c>
    </row>
    <row r="206" spans="2:12" ht="13">
      <c r="B206" s="1180" t="s">
        <v>1105</v>
      </c>
      <c r="C206" s="314"/>
      <c r="D206" s="314"/>
      <c r="E206" s="1171" t="s">
        <v>59</v>
      </c>
      <c r="F206" s="1174" t="s">
        <v>1607</v>
      </c>
      <c r="G206" s="1171" t="s">
        <v>347</v>
      </c>
      <c r="H206" s="1171" t="s">
        <v>347</v>
      </c>
      <c r="I206" s="1171" t="s">
        <v>347</v>
      </c>
      <c r="J206" s="1171" t="s">
        <v>351</v>
      </c>
    </row>
    <row r="207" spans="2:12" ht="25">
      <c r="B207" s="1364" t="s">
        <v>1899</v>
      </c>
      <c r="C207" s="1369"/>
      <c r="D207" s="1373"/>
      <c r="E207" s="1367">
        <f>SUM(F207:I207)</f>
        <v>-9307805.5369199999</v>
      </c>
      <c r="F207" s="1367">
        <v>0</v>
      </c>
      <c r="G207" s="1367">
        <v>0</v>
      </c>
      <c r="H207" s="1367">
        <v>-9307805.5369199999</v>
      </c>
      <c r="I207" s="1367">
        <v>0</v>
      </c>
      <c r="J207" s="1244" t="s">
        <v>1914</v>
      </c>
    </row>
    <row r="208" spans="2:12">
      <c r="B208" s="1364" t="s">
        <v>1888</v>
      </c>
      <c r="C208" s="1369"/>
      <c r="D208" s="1373"/>
      <c r="E208" s="1367">
        <f t="shared" ref="E208:E213" si="10">SUM(F208:I208)</f>
        <v>-1438435.1722913999</v>
      </c>
      <c r="F208" s="1367">
        <v>-1438435.1722913999</v>
      </c>
      <c r="G208" s="1367">
        <v>0</v>
      </c>
      <c r="H208" s="1367">
        <v>0</v>
      </c>
      <c r="I208" s="1367">
        <v>0</v>
      </c>
      <c r="J208" s="1244" t="s">
        <v>1905</v>
      </c>
    </row>
    <row r="209" spans="2:10" ht="25">
      <c r="B209" s="1364" t="s">
        <v>1900</v>
      </c>
      <c r="C209" s="1369"/>
      <c r="D209" s="1373"/>
      <c r="E209" s="1367">
        <f t="shared" si="10"/>
        <v>-2171443.2898233002</v>
      </c>
      <c r="F209" s="1367">
        <v>0</v>
      </c>
      <c r="G209" s="1367">
        <v>0</v>
      </c>
      <c r="H209" s="1367">
        <v>-2171443.2898233002</v>
      </c>
      <c r="I209" s="1367">
        <v>0</v>
      </c>
      <c r="J209" s="1244" t="s">
        <v>1914</v>
      </c>
    </row>
    <row r="210" spans="2:10" ht="25">
      <c r="B210" s="1364" t="s">
        <v>1901</v>
      </c>
      <c r="C210" s="1369"/>
      <c r="D210" s="1373"/>
      <c r="E210" s="1367">
        <f t="shared" si="10"/>
        <v>-75149806.295388386</v>
      </c>
      <c r="F210" s="1367">
        <v>0</v>
      </c>
      <c r="G210" s="1367">
        <v>0</v>
      </c>
      <c r="H210" s="1367">
        <v>0</v>
      </c>
      <c r="I210" s="1367">
        <v>-75149806.295388386</v>
      </c>
      <c r="J210" s="1244" t="s">
        <v>1915</v>
      </c>
    </row>
    <row r="211" spans="2:10">
      <c r="B211" s="1364" t="s">
        <v>130</v>
      </c>
      <c r="C211" s="1369"/>
      <c r="D211" s="1373"/>
      <c r="E211" s="1367">
        <f t="shared" si="10"/>
        <v>-718427.79150289996</v>
      </c>
      <c r="F211" s="1367">
        <v>0</v>
      </c>
      <c r="G211" s="1367">
        <v>0</v>
      </c>
      <c r="H211" s="1367">
        <v>0</v>
      </c>
      <c r="I211" s="1367">
        <v>-718427.79150289996</v>
      </c>
      <c r="J211" s="1396" t="s">
        <v>1905</v>
      </c>
    </row>
    <row r="212" spans="2:10">
      <c r="B212" s="1364" t="s">
        <v>1902</v>
      </c>
      <c r="C212" s="1369"/>
      <c r="D212" s="1373"/>
      <c r="E212" s="1367">
        <f t="shared" si="10"/>
        <v>-107057283.06456788</v>
      </c>
      <c r="F212" s="1367">
        <v>-107057283.06456788</v>
      </c>
      <c r="G212" s="1367">
        <v>0</v>
      </c>
      <c r="H212" s="1367">
        <v>0</v>
      </c>
      <c r="I212" s="1367">
        <v>0</v>
      </c>
      <c r="J212" s="1244" t="s">
        <v>1905</v>
      </c>
    </row>
    <row r="213" spans="2:10" ht="25">
      <c r="B213" s="1364" t="s">
        <v>1903</v>
      </c>
      <c r="C213" s="1369"/>
      <c r="D213" s="1373"/>
      <c r="E213" s="1367">
        <f t="shared" si="10"/>
        <v>-1867047.0061361999</v>
      </c>
      <c r="F213" s="1367">
        <v>-1867047.0061361999</v>
      </c>
      <c r="G213" s="1367">
        <v>0</v>
      </c>
      <c r="H213" s="1367">
        <v>0</v>
      </c>
      <c r="I213" s="1367">
        <v>0</v>
      </c>
      <c r="J213" s="1244" t="s">
        <v>1916</v>
      </c>
    </row>
    <row r="214" spans="2:10" ht="13">
      <c r="B214" s="1197" t="s">
        <v>1106</v>
      </c>
      <c r="C214" s="1194"/>
      <c r="D214" s="1194"/>
      <c r="E214" s="1195">
        <f>SUM(E207:E213)</f>
        <v>-197710248.15663007</v>
      </c>
      <c r="F214" s="1195">
        <f>SUM(F207:F213)</f>
        <v>-110362765.24299547</v>
      </c>
      <c r="G214" s="1195">
        <f>SUM(G207:G213)</f>
        <v>0</v>
      </c>
      <c r="H214" s="1195">
        <f>SUM(H207:H213)</f>
        <v>-11479248.826743301</v>
      </c>
      <c r="I214" s="1195">
        <f>SUM(I207:I213)</f>
        <v>-75868234.086891279</v>
      </c>
      <c r="J214" s="1196"/>
    </row>
    <row r="215" spans="2:10" ht="13">
      <c r="B215" s="1197"/>
      <c r="C215" s="1194"/>
      <c r="D215" s="1194"/>
      <c r="E215" s="1195"/>
      <c r="F215" s="1195"/>
      <c r="G215" s="1195"/>
      <c r="H215" s="1195"/>
      <c r="I215" s="1195"/>
      <c r="J215" s="1196"/>
    </row>
    <row r="216" spans="2:10">
      <c r="B216" s="1216" t="s">
        <v>1612</v>
      </c>
      <c r="C216" s="1217"/>
      <c r="D216" s="1218"/>
      <c r="E216" s="1200">
        <f>SUM(F216:I216)</f>
        <v>0</v>
      </c>
      <c r="F216" s="1190"/>
      <c r="G216" s="1190"/>
      <c r="H216" s="1190"/>
      <c r="I216" s="1190"/>
      <c r="J216" s="1201"/>
    </row>
    <row r="217" spans="2:10">
      <c r="B217" s="1198" t="s">
        <v>1613</v>
      </c>
      <c r="C217" s="1199"/>
      <c r="D217" s="1218"/>
      <c r="E217" s="1200">
        <f>SUM(F217:I217)</f>
        <v>0</v>
      </c>
      <c r="F217" s="1190"/>
      <c r="G217" s="1190"/>
      <c r="H217" s="1190"/>
      <c r="I217" s="1190"/>
      <c r="J217" s="1201"/>
    </row>
    <row r="218" spans="2:10">
      <c r="B218" s="1198" t="s">
        <v>1614</v>
      </c>
      <c r="C218" s="1199"/>
      <c r="D218" s="1218"/>
      <c r="E218" s="1200">
        <f>SUM(F218:I218)</f>
        <v>0</v>
      </c>
      <c r="F218" s="1190"/>
      <c r="G218" s="1190"/>
      <c r="H218" s="1190"/>
      <c r="I218" s="1190"/>
      <c r="J218" s="1201"/>
    </row>
    <row r="219" spans="2:10">
      <c r="B219" s="1198" t="s">
        <v>1162</v>
      </c>
      <c r="C219" s="1199"/>
      <c r="D219" s="1218"/>
      <c r="E219" s="1200">
        <f>SUM(F219:I219)</f>
        <v>0</v>
      </c>
      <c r="F219" s="1190"/>
      <c r="G219" s="1190"/>
      <c r="H219" s="1190"/>
      <c r="I219" s="1190"/>
      <c r="J219" s="1201"/>
    </row>
    <row r="220" spans="2:10" ht="5.15" customHeight="1">
      <c r="B220" s="1192"/>
      <c r="C220" s="1193"/>
      <c r="D220" s="1194"/>
      <c r="E220" s="1195"/>
      <c r="F220" s="1195"/>
      <c r="G220" s="1195"/>
      <c r="H220" s="1195"/>
      <c r="I220" s="1195"/>
      <c r="J220" s="1196"/>
    </row>
    <row r="221" spans="2:10" ht="13">
      <c r="B221" s="1219" t="s">
        <v>1107</v>
      </c>
      <c r="C221" s="1220"/>
      <c r="D221" s="1194"/>
      <c r="E221" s="1195">
        <f>SUM(E216:E219)+E214</f>
        <v>-197710248.15663007</v>
      </c>
      <c r="F221" s="1195">
        <f>SUM(F216:F219)+F214</f>
        <v>-110362765.24299547</v>
      </c>
      <c r="G221" s="1195">
        <f>SUM(G216:G219)+G214</f>
        <v>0</v>
      </c>
      <c r="H221" s="1195">
        <f>SUM(H216:H219)+H214</f>
        <v>-11479248.826743301</v>
      </c>
      <c r="I221" s="1195">
        <f>SUM(I216:I219)+I214</f>
        <v>-75868234.086891279</v>
      </c>
      <c r="J221" s="1196"/>
    </row>
    <row r="222" spans="2:10" ht="13">
      <c r="B222" s="1221"/>
      <c r="C222" s="1222"/>
      <c r="D222" s="1222"/>
      <c r="E222" s="1205"/>
      <c r="F222" s="1195"/>
      <c r="G222" s="1195"/>
      <c r="H222" s="1195"/>
      <c r="I222" s="1195"/>
      <c r="J222" s="1207"/>
    </row>
    <row r="223" spans="2:10" ht="13">
      <c r="B223" s="1223" t="s">
        <v>350</v>
      </c>
      <c r="C223" s="1224"/>
      <c r="D223" s="1204"/>
      <c r="E223" s="1205"/>
      <c r="F223" s="1205"/>
      <c r="G223" s="1205"/>
      <c r="H223" s="1205"/>
      <c r="I223" s="1206">
        <f>+'ATT H-9A'!$H$24</f>
        <v>0.14248734844503233</v>
      </c>
      <c r="J223" s="1207"/>
    </row>
    <row r="224" spans="2:10" ht="13">
      <c r="B224" s="1202" t="s">
        <v>297</v>
      </c>
      <c r="C224" s="1203"/>
      <c r="D224" s="1204"/>
      <c r="E224" s="1205"/>
      <c r="F224" s="1205"/>
      <c r="G224" s="1205"/>
      <c r="H224" s="1206">
        <f>+'ATT H-9A'!$H$45</f>
        <v>0.17754725405156993</v>
      </c>
      <c r="I224" s="1205"/>
      <c r="J224" s="1207"/>
    </row>
    <row r="225" spans="2:10" ht="13">
      <c r="B225" s="1202" t="s">
        <v>1086</v>
      </c>
      <c r="C225" s="1203"/>
      <c r="D225" s="1204"/>
      <c r="E225" s="1205"/>
      <c r="F225" s="1205"/>
      <c r="G225" s="1206">
        <v>1</v>
      </c>
      <c r="H225" s="1205"/>
      <c r="I225" s="1205"/>
      <c r="J225" s="1207"/>
    </row>
    <row r="226" spans="2:10" ht="13">
      <c r="B226" s="1202" t="s">
        <v>1087</v>
      </c>
      <c r="C226" s="1203"/>
      <c r="D226" s="1204"/>
      <c r="E226" s="1205"/>
      <c r="F226" s="1206">
        <v>0</v>
      </c>
      <c r="G226" s="1205"/>
      <c r="H226" s="1205"/>
      <c r="I226" s="1205"/>
      <c r="J226" s="1207"/>
    </row>
    <row r="227" spans="2:10" ht="17.25" customHeight="1">
      <c r="B227" s="1208" t="s">
        <v>1088</v>
      </c>
      <c r="C227" s="1203"/>
      <c r="D227" s="1204"/>
      <c r="E227" s="1205">
        <f>F227+G227+H227+I227</f>
        <v>-12848372.614011137</v>
      </c>
      <c r="F227" s="1205">
        <f>F226*F221</f>
        <v>0</v>
      </c>
      <c r="G227" s="1205">
        <f>G221*G225</f>
        <v>0</v>
      </c>
      <c r="H227" s="1205">
        <f>H221*H224</f>
        <v>-2038109.1077629789</v>
      </c>
      <c r="I227" s="1205">
        <f>I223*I221</f>
        <v>-10810263.506248157</v>
      </c>
      <c r="J227" s="1207"/>
    </row>
    <row r="228" spans="2:10" ht="12.75" customHeight="1">
      <c r="B228" s="1241"/>
      <c r="C228" s="1243"/>
      <c r="D228" s="1243"/>
      <c r="E228" s="1243"/>
      <c r="F228" s="1243"/>
      <c r="G228" s="1243"/>
      <c r="H228" s="1243"/>
      <c r="I228" s="1243"/>
      <c r="J228" s="1243"/>
    </row>
    <row r="229" spans="2:10" ht="13">
      <c r="B229" s="1171"/>
      <c r="C229" s="1171"/>
      <c r="D229" s="1171"/>
      <c r="E229" s="1171"/>
      <c r="F229" s="1171"/>
      <c r="G229" s="1171"/>
      <c r="H229" s="1171"/>
      <c r="I229" s="1171"/>
      <c r="J229" s="1171"/>
    </row>
    <row r="230" spans="2:10" ht="13">
      <c r="B230" s="1171" t="s">
        <v>216</v>
      </c>
      <c r="C230" s="314"/>
      <c r="D230" s="314"/>
      <c r="E230" s="1171" t="s">
        <v>217</v>
      </c>
      <c r="F230" s="1171" t="s">
        <v>1318</v>
      </c>
      <c r="G230" s="1171" t="s">
        <v>1566</v>
      </c>
      <c r="H230" s="1171" t="s">
        <v>1567</v>
      </c>
      <c r="I230" s="1171" t="s">
        <v>1568</v>
      </c>
      <c r="J230" s="1171" t="s">
        <v>1569</v>
      </c>
    </row>
    <row r="231" spans="2:10" ht="13">
      <c r="B231" s="1180"/>
      <c r="C231" s="314"/>
      <c r="D231" s="314"/>
      <c r="E231" s="1171"/>
      <c r="F231" s="1171" t="s">
        <v>1605</v>
      </c>
      <c r="G231" s="1171" t="s">
        <v>344</v>
      </c>
      <c r="H231" s="1171"/>
      <c r="I231" s="1171"/>
      <c r="J231" s="314"/>
    </row>
    <row r="232" spans="2:10" ht="13">
      <c r="B232" s="1225"/>
      <c r="C232" s="314"/>
      <c r="D232" s="314"/>
      <c r="E232" s="1171"/>
      <c r="F232" s="1171" t="s">
        <v>1606</v>
      </c>
      <c r="G232" s="1171" t="s">
        <v>274</v>
      </c>
      <c r="H232" s="1171" t="s">
        <v>345</v>
      </c>
      <c r="I232" s="1171" t="s">
        <v>346</v>
      </c>
      <c r="J232" s="314"/>
    </row>
    <row r="233" spans="2:10" ht="13">
      <c r="B233" s="1180" t="s">
        <v>1617</v>
      </c>
      <c r="E233" s="1171" t="s">
        <v>59</v>
      </c>
      <c r="F233" s="1174" t="s">
        <v>1607</v>
      </c>
      <c r="G233" s="1171" t="s">
        <v>347</v>
      </c>
      <c r="H233" s="1171" t="s">
        <v>347</v>
      </c>
      <c r="I233" s="1171" t="s">
        <v>347</v>
      </c>
      <c r="J233" s="1171" t="s">
        <v>351</v>
      </c>
    </row>
    <row r="234" spans="2:10">
      <c r="B234" s="1189"/>
      <c r="C234" s="1245"/>
      <c r="D234" s="1213"/>
      <c r="E234" s="1190"/>
      <c r="F234" s="1190"/>
      <c r="G234" s="1190"/>
      <c r="H234" s="1190"/>
      <c r="I234" s="1190"/>
      <c r="J234" s="1191"/>
    </row>
    <row r="235" spans="2:10">
      <c r="B235" s="1189"/>
      <c r="C235" s="1245"/>
      <c r="D235" s="1213"/>
      <c r="E235" s="1190"/>
      <c r="F235" s="1190"/>
      <c r="G235" s="1190"/>
      <c r="H235" s="1190"/>
      <c r="I235" s="1190"/>
      <c r="J235" s="1191"/>
    </row>
    <row r="236" spans="2:10">
      <c r="B236" s="1189"/>
      <c r="C236" s="1245"/>
      <c r="D236" s="1213"/>
      <c r="E236" s="1190"/>
      <c r="F236" s="1190"/>
      <c r="G236" s="1190"/>
      <c r="H236" s="1190"/>
      <c r="I236" s="1190"/>
      <c r="J236" s="1191"/>
    </row>
    <row r="237" spans="2:10">
      <c r="B237" s="1189"/>
      <c r="C237" s="1245"/>
      <c r="D237" s="1213"/>
      <c r="E237" s="1190"/>
      <c r="F237" s="1190"/>
      <c r="G237" s="1190"/>
      <c r="H237" s="1190"/>
      <c r="I237" s="1190"/>
      <c r="J237" s="1191"/>
    </row>
    <row r="238" spans="2:10">
      <c r="B238" s="1189"/>
      <c r="C238" s="1245"/>
      <c r="D238" s="1213"/>
      <c r="E238" s="1190"/>
      <c r="F238" s="1190"/>
      <c r="G238" s="1190"/>
      <c r="H238" s="1190"/>
      <c r="I238" s="1190"/>
      <c r="J238" s="1191"/>
    </row>
    <row r="239" spans="2:10">
      <c r="B239" s="1189"/>
      <c r="C239" s="1245"/>
      <c r="D239" s="1213"/>
      <c r="E239" s="1190"/>
      <c r="F239" s="1190"/>
      <c r="G239" s="1190"/>
      <c r="H239" s="1190"/>
      <c r="I239" s="1190"/>
      <c r="J239" s="1191"/>
    </row>
    <row r="240" spans="2:10">
      <c r="B240" s="1189"/>
      <c r="C240" s="1245"/>
      <c r="D240" s="1212"/>
      <c r="E240" s="1214"/>
      <c r="F240" s="1214"/>
      <c r="G240" s="1214"/>
      <c r="H240" s="1214"/>
      <c r="I240" s="1214"/>
      <c r="J240" s="1215"/>
    </row>
    <row r="241" spans="2:10" ht="13">
      <c r="B241" s="1197" t="s">
        <v>1163</v>
      </c>
      <c r="C241" s="1194"/>
      <c r="D241" s="1195"/>
      <c r="E241" s="1195">
        <f>SUM(E234:E240)</f>
        <v>0</v>
      </c>
      <c r="F241" s="1195">
        <f>SUM(F234:F240)</f>
        <v>0</v>
      </c>
      <c r="G241" s="1195">
        <f>SUM(G234:G240)</f>
        <v>0</v>
      </c>
      <c r="H241" s="1195">
        <f>SUM(H234:H240)</f>
        <v>0</v>
      </c>
      <c r="I241" s="1195">
        <f>SUM(I234:I240)</f>
        <v>0</v>
      </c>
      <c r="J241" s="1196"/>
    </row>
    <row r="242" spans="2:10" ht="13">
      <c r="B242" s="1197"/>
      <c r="C242" s="1194"/>
      <c r="D242" s="1194"/>
      <c r="E242" s="1195"/>
      <c r="F242" s="1195"/>
      <c r="G242" s="1195"/>
      <c r="H242" s="1195"/>
      <c r="I242" s="1195"/>
      <c r="J242" s="1196"/>
    </row>
    <row r="243" spans="2:10">
      <c r="B243" s="1216" t="s">
        <v>1612</v>
      </c>
      <c r="C243" s="1217"/>
      <c r="D243" s="1218"/>
      <c r="E243" s="1200"/>
      <c r="F243" s="1190"/>
      <c r="G243" s="1190"/>
      <c r="H243" s="1190"/>
      <c r="I243" s="1190"/>
      <c r="J243" s="1201"/>
    </row>
    <row r="244" spans="2:10">
      <c r="B244" s="1198" t="s">
        <v>1613</v>
      </c>
      <c r="C244" s="1199"/>
      <c r="D244" s="1218"/>
      <c r="E244" s="1200"/>
      <c r="F244" s="1190"/>
      <c r="G244" s="1190"/>
      <c r="H244" s="1190"/>
      <c r="I244" s="1190"/>
      <c r="J244" s="1201"/>
    </row>
    <row r="245" spans="2:10">
      <c r="B245" s="1198" t="s">
        <v>1614</v>
      </c>
      <c r="C245" s="1199"/>
      <c r="D245" s="1218"/>
      <c r="E245" s="1200"/>
      <c r="F245" s="1190"/>
      <c r="G245" s="1190"/>
      <c r="H245" s="1190"/>
      <c r="I245" s="1190"/>
      <c r="J245" s="1201"/>
    </row>
    <row r="246" spans="2:10">
      <c r="B246" s="1198" t="s">
        <v>1162</v>
      </c>
      <c r="C246" s="1199"/>
      <c r="D246" s="1218"/>
      <c r="E246" s="1200"/>
      <c r="F246" s="1190"/>
      <c r="G246" s="1190"/>
      <c r="H246" s="1190"/>
      <c r="I246" s="1190"/>
      <c r="J246" s="1201"/>
    </row>
    <row r="247" spans="2:10" ht="5.15" customHeight="1">
      <c r="B247" s="1192"/>
      <c r="C247" s="1193"/>
      <c r="D247" s="1194"/>
      <c r="E247" s="1195"/>
      <c r="F247" s="1195"/>
      <c r="G247" s="1195"/>
      <c r="H247" s="1195"/>
      <c r="I247" s="1195"/>
      <c r="J247" s="1196"/>
    </row>
    <row r="248" spans="2:10" ht="13">
      <c r="B248" s="1219" t="s">
        <v>1109</v>
      </c>
      <c r="C248" s="1220"/>
      <c r="D248" s="1194"/>
      <c r="E248" s="1195">
        <f>SUM(E243:E246)+E241</f>
        <v>0</v>
      </c>
      <c r="F248" s="1195">
        <f>SUM(F243:F246)+F241</f>
        <v>0</v>
      </c>
      <c r="G248" s="1195">
        <f>SUM(G243:G246)+G241</f>
        <v>0</v>
      </c>
      <c r="H248" s="1195">
        <f>SUM(H243:H246)+H241</f>
        <v>0</v>
      </c>
      <c r="I248" s="1195">
        <f>SUM(I243:I246)+I241</f>
        <v>0</v>
      </c>
      <c r="J248" s="1196"/>
    </row>
    <row r="249" spans="2:10" ht="13">
      <c r="B249" s="1221"/>
      <c r="C249" s="1222"/>
      <c r="D249" s="1222"/>
      <c r="E249" s="1205"/>
      <c r="F249" s="1195"/>
      <c r="G249" s="1195"/>
      <c r="H249" s="1195"/>
      <c r="I249" s="1195"/>
      <c r="J249" s="1207"/>
    </row>
    <row r="250" spans="2:10" ht="13">
      <c r="B250" s="1223" t="s">
        <v>350</v>
      </c>
      <c r="C250" s="1224"/>
      <c r="D250" s="1204"/>
      <c r="E250" s="1205"/>
      <c r="F250" s="1205"/>
      <c r="G250" s="1205"/>
      <c r="H250" s="1205"/>
      <c r="I250" s="1206">
        <f>+'ATT H-9A'!$H$24</f>
        <v>0.14248734844503233</v>
      </c>
      <c r="J250" s="1207"/>
    </row>
    <row r="251" spans="2:10" ht="13">
      <c r="B251" s="1202" t="s">
        <v>297</v>
      </c>
      <c r="C251" s="1203"/>
      <c r="D251" s="1204"/>
      <c r="E251" s="1205"/>
      <c r="F251" s="1205"/>
      <c r="G251" s="1205"/>
      <c r="H251" s="1206">
        <f>+'ATT H-9A'!$H$45</f>
        <v>0.17754725405156993</v>
      </c>
      <c r="I251" s="1205"/>
      <c r="J251" s="1207"/>
    </row>
    <row r="252" spans="2:10" ht="13">
      <c r="B252" s="1202" t="s">
        <v>1086</v>
      </c>
      <c r="C252" s="1203"/>
      <c r="D252" s="1204"/>
      <c r="E252" s="1205"/>
      <c r="F252" s="1205"/>
      <c r="G252" s="1206">
        <v>1</v>
      </c>
      <c r="H252" s="1205"/>
      <c r="I252" s="1205"/>
      <c r="J252" s="1207"/>
    </row>
    <row r="253" spans="2:10" ht="13">
      <c r="B253" s="1202" t="s">
        <v>1087</v>
      </c>
      <c r="C253" s="1203"/>
      <c r="D253" s="1204"/>
      <c r="E253" s="1205"/>
      <c r="F253" s="1206">
        <v>0</v>
      </c>
      <c r="G253" s="1205"/>
      <c r="H253" s="1205"/>
      <c r="I253" s="1205"/>
      <c r="J253" s="1207"/>
    </row>
    <row r="254" spans="2:10" ht="13">
      <c r="B254" s="1208" t="s">
        <v>1088</v>
      </c>
      <c r="C254" s="1203"/>
      <c r="D254" s="1204"/>
      <c r="E254" s="1205">
        <f>F254+G254+H254+I254</f>
        <v>0</v>
      </c>
      <c r="F254" s="1205">
        <f>F253*F248</f>
        <v>0</v>
      </c>
      <c r="G254" s="1205">
        <f>G248*G252</f>
        <v>0</v>
      </c>
      <c r="H254" s="1205">
        <f>H248*H251</f>
        <v>0</v>
      </c>
      <c r="I254" s="1205">
        <f>I250*I248</f>
        <v>0</v>
      </c>
      <c r="J254" s="1207"/>
    </row>
    <row r="255" spans="2:10" ht="13">
      <c r="B255" s="1209"/>
      <c r="E255" s="1178"/>
      <c r="F255" s="1178"/>
      <c r="G255" s="1178"/>
      <c r="H255" s="1178"/>
      <c r="I255" s="1178"/>
      <c r="J255" s="1210"/>
    </row>
    <row r="256" spans="2:10" ht="13">
      <c r="B256" s="1209"/>
      <c r="E256" s="1178"/>
      <c r="F256" s="1178"/>
      <c r="G256" s="1178"/>
      <c r="H256" s="1178"/>
      <c r="I256" s="1178"/>
      <c r="J256" s="1210"/>
    </row>
    <row r="257" spans="2:11" ht="13">
      <c r="B257" s="1171"/>
      <c r="C257" s="1171"/>
      <c r="D257" s="1171"/>
      <c r="E257" s="1171"/>
      <c r="F257" s="1171"/>
      <c r="G257" s="1171"/>
      <c r="H257" s="1171"/>
      <c r="I257" s="1171"/>
      <c r="J257" s="1171"/>
    </row>
    <row r="258" spans="2:11" ht="13">
      <c r="B258" s="1171" t="s">
        <v>216</v>
      </c>
      <c r="C258" s="314"/>
      <c r="D258" s="314"/>
      <c r="E258" s="1171" t="s">
        <v>217</v>
      </c>
      <c r="F258" s="1171" t="s">
        <v>1318</v>
      </c>
      <c r="G258" s="1171" t="s">
        <v>1566</v>
      </c>
      <c r="H258" s="1171" t="s">
        <v>1567</v>
      </c>
      <c r="I258" s="1171" t="s">
        <v>1568</v>
      </c>
      <c r="J258" s="1171" t="s">
        <v>1569</v>
      </c>
    </row>
    <row r="259" spans="2:11" ht="13">
      <c r="B259" s="1180"/>
      <c r="C259" s="314"/>
      <c r="D259" s="314"/>
      <c r="E259" s="1171"/>
      <c r="F259" s="1171" t="s">
        <v>1605</v>
      </c>
      <c r="G259" s="1171" t="s">
        <v>344</v>
      </c>
      <c r="H259" s="1171"/>
      <c r="I259" s="1171"/>
      <c r="J259" s="314"/>
    </row>
    <row r="260" spans="2:11" ht="13">
      <c r="B260" s="1225"/>
      <c r="C260" s="314"/>
      <c r="D260" s="314"/>
      <c r="E260" s="1171"/>
      <c r="F260" s="1171" t="s">
        <v>1606</v>
      </c>
      <c r="G260" s="1171" t="s">
        <v>274</v>
      </c>
      <c r="H260" s="1171" t="s">
        <v>345</v>
      </c>
      <c r="I260" s="1171" t="s">
        <v>346</v>
      </c>
      <c r="J260" s="314"/>
    </row>
    <row r="261" spans="2:11" ht="16.5" customHeight="1">
      <c r="B261" s="1180" t="s">
        <v>1108</v>
      </c>
      <c r="E261" s="1171" t="s">
        <v>59</v>
      </c>
      <c r="F261" s="1174" t="s">
        <v>1607</v>
      </c>
      <c r="G261" s="1171" t="s">
        <v>347</v>
      </c>
      <c r="H261" s="1171" t="s">
        <v>347</v>
      </c>
      <c r="I261" s="1171" t="s">
        <v>347</v>
      </c>
      <c r="J261" s="1171" t="s">
        <v>351</v>
      </c>
    </row>
    <row r="262" spans="2:11">
      <c r="B262" s="1204" t="s">
        <v>1161</v>
      </c>
      <c r="C262" s="1204"/>
      <c r="D262" s="1204"/>
      <c r="E262" s="1195">
        <f>SUM(F262:I262)</f>
        <v>-197710248.15663004</v>
      </c>
      <c r="F262" s="1205">
        <f>F214</f>
        <v>-110362765.24299547</v>
      </c>
      <c r="G262" s="1205">
        <f>G214</f>
        <v>0</v>
      </c>
      <c r="H262" s="1205">
        <f>H214</f>
        <v>-11479248.826743301</v>
      </c>
      <c r="I262" s="1205">
        <f>I214</f>
        <v>-75868234.086891279</v>
      </c>
      <c r="J262" s="1207"/>
    </row>
    <row r="263" spans="2:11">
      <c r="B263" s="1204" t="s">
        <v>1108</v>
      </c>
      <c r="C263" s="1204"/>
      <c r="D263" s="1204"/>
      <c r="E263" s="1195">
        <f>SUM(F263:I263)</f>
        <v>0</v>
      </c>
      <c r="F263" s="1205">
        <f>F241</f>
        <v>0</v>
      </c>
      <c r="G263" s="1205">
        <f>G241</f>
        <v>0</v>
      </c>
      <c r="H263" s="1205">
        <f>H241</f>
        <v>0</v>
      </c>
      <c r="I263" s="1205">
        <f>I241</f>
        <v>0</v>
      </c>
      <c r="J263" s="1207"/>
    </row>
    <row r="264" spans="2:11" ht="13">
      <c r="B264" s="1197" t="s">
        <v>1102</v>
      </c>
      <c r="C264" s="1204"/>
      <c r="D264" s="1204"/>
      <c r="E264" s="1205">
        <f>E262+E263</f>
        <v>-197710248.15663004</v>
      </c>
      <c r="F264" s="1205">
        <f>F262+F263</f>
        <v>-110362765.24299547</v>
      </c>
      <c r="G264" s="1205">
        <f>G262+G263</f>
        <v>0</v>
      </c>
      <c r="H264" s="1205">
        <f>H262+H263</f>
        <v>-11479248.826743301</v>
      </c>
      <c r="I264" s="1205">
        <f>I262+I263</f>
        <v>-75868234.086891279</v>
      </c>
      <c r="J264" s="1207"/>
    </row>
    <row r="265" spans="2:11" ht="13">
      <c r="B265" s="1209"/>
      <c r="E265" s="1178"/>
      <c r="F265" s="1178"/>
      <c r="G265" s="1178"/>
      <c r="H265" s="1178"/>
      <c r="I265" s="1178"/>
      <c r="J265" s="1210"/>
    </row>
    <row r="266" spans="2:11" s="314" customFormat="1" ht="13">
      <c r="B266" s="1180" t="s">
        <v>376</v>
      </c>
      <c r="G266" s="1230"/>
      <c r="H266" s="1230"/>
      <c r="I266" s="1230"/>
      <c r="J266" s="1231"/>
    </row>
    <row r="267" spans="2:11" s="314" customFormat="1" ht="13">
      <c r="B267" s="1845" t="s">
        <v>1616</v>
      </c>
      <c r="C267" s="1845"/>
      <c r="D267" s="1845"/>
      <c r="E267" s="1845"/>
      <c r="F267" s="1845"/>
      <c r="G267" s="1845"/>
      <c r="H267" s="1845"/>
      <c r="I267" s="1845"/>
      <c r="J267" s="1231"/>
    </row>
    <row r="268" spans="2:11" s="314" customFormat="1" ht="13">
      <c r="B268" s="1240" t="s">
        <v>364</v>
      </c>
      <c r="G268" s="1230"/>
      <c r="H268" s="1230"/>
      <c r="I268" s="1230"/>
      <c r="J268" s="1231"/>
    </row>
    <row r="269" spans="2:11" s="314" customFormat="1" ht="13">
      <c r="B269" s="1240" t="s">
        <v>365</v>
      </c>
      <c r="G269" s="1230"/>
      <c r="H269" s="1230"/>
      <c r="I269" s="1230"/>
      <c r="J269" s="1231"/>
    </row>
    <row r="270" spans="2:11" s="314" customFormat="1" ht="13">
      <c r="B270" s="1240" t="s">
        <v>366</v>
      </c>
      <c r="G270" s="1230"/>
      <c r="H270" s="1230"/>
      <c r="I270" s="1230"/>
      <c r="J270" s="1231"/>
    </row>
    <row r="271" spans="2:11" s="314" customFormat="1" ht="15.75" customHeight="1">
      <c r="B271" s="1840" t="s">
        <v>367</v>
      </c>
      <c r="C271" s="1840"/>
      <c r="D271" s="1840"/>
      <c r="E271" s="1840"/>
      <c r="F271" s="1840"/>
      <c r="G271" s="1840"/>
      <c r="H271" s="1840"/>
      <c r="I271" s="1840"/>
      <c r="K271" s="1234"/>
    </row>
    <row r="272" spans="2:11" s="314" customFormat="1" ht="15.75" customHeight="1">
      <c r="B272" s="1840"/>
      <c r="C272" s="1840"/>
      <c r="D272" s="1840"/>
      <c r="E272" s="1840"/>
      <c r="F272" s="1840"/>
      <c r="G272" s="1840"/>
      <c r="H272" s="1840"/>
      <c r="I272" s="1840"/>
      <c r="K272" s="1234"/>
    </row>
    <row r="273" spans="2:10" s="314" customFormat="1" ht="13">
      <c r="B273" s="1233" t="s">
        <v>1110</v>
      </c>
      <c r="G273" s="1230"/>
      <c r="H273" s="1230"/>
      <c r="I273" s="1230"/>
      <c r="J273" s="1231"/>
    </row>
    <row r="274" spans="2:10" ht="13">
      <c r="B274" s="1240" t="s">
        <v>1104</v>
      </c>
    </row>
    <row r="275" spans="2:10" ht="12" customHeight="1">
      <c r="B275" s="1241"/>
      <c r="C275" s="1242"/>
      <c r="D275" s="1243"/>
      <c r="E275" s="1243"/>
      <c r="F275" s="1243"/>
      <c r="G275" s="1243"/>
      <c r="H275" s="1243"/>
      <c r="I275" s="1243"/>
      <c r="J275" s="1243"/>
    </row>
    <row r="276" spans="2:10" ht="12.75" customHeight="1">
      <c r="B276" s="1241"/>
      <c r="C276" s="1243"/>
      <c r="D276" s="1243"/>
      <c r="E276" s="1243"/>
      <c r="F276" s="1243"/>
      <c r="G276" s="1243"/>
      <c r="H276" s="1243"/>
      <c r="I276" s="1243"/>
      <c r="J276" s="1243"/>
    </row>
    <row r="277" spans="2:10" ht="13">
      <c r="B277" s="1171" t="s">
        <v>216</v>
      </c>
      <c r="C277" s="314"/>
      <c r="D277" s="314"/>
      <c r="E277" s="1171" t="s">
        <v>217</v>
      </c>
      <c r="F277" s="1171" t="s">
        <v>1318</v>
      </c>
      <c r="G277" s="1171" t="s">
        <v>1566</v>
      </c>
      <c r="H277" s="1171" t="s">
        <v>1567</v>
      </c>
      <c r="I277" s="1171" t="s">
        <v>1568</v>
      </c>
      <c r="J277" s="1171" t="s">
        <v>1569</v>
      </c>
    </row>
    <row r="278" spans="2:10" ht="13">
      <c r="B278" s="1180"/>
      <c r="C278" s="314"/>
      <c r="D278" s="314"/>
      <c r="E278" s="1171"/>
      <c r="F278" s="1171" t="s">
        <v>1605</v>
      </c>
      <c r="G278" s="1171" t="s">
        <v>344</v>
      </c>
      <c r="H278" s="1171"/>
      <c r="I278" s="1171"/>
      <c r="J278" s="314"/>
    </row>
    <row r="279" spans="2:10" ht="13">
      <c r="B279" s="1225"/>
      <c r="C279" s="314"/>
      <c r="D279" s="314"/>
      <c r="E279" s="1171"/>
      <c r="F279" s="1171" t="s">
        <v>1606</v>
      </c>
      <c r="G279" s="1171" t="s">
        <v>274</v>
      </c>
      <c r="H279" s="1171" t="s">
        <v>345</v>
      </c>
      <c r="I279" s="1171" t="s">
        <v>346</v>
      </c>
      <c r="J279" s="314"/>
    </row>
    <row r="280" spans="2:10" ht="13">
      <c r="B280" s="1180" t="s">
        <v>1618</v>
      </c>
      <c r="E280" s="1171" t="s">
        <v>59</v>
      </c>
      <c r="F280" s="1174" t="s">
        <v>1607</v>
      </c>
      <c r="G280" s="1171" t="s">
        <v>347</v>
      </c>
      <c r="H280" s="1171" t="s">
        <v>347</v>
      </c>
      <c r="I280" s="1171" t="s">
        <v>347</v>
      </c>
      <c r="J280" s="1171" t="s">
        <v>351</v>
      </c>
    </row>
    <row r="281" spans="2:10" ht="50">
      <c r="B281" s="1364" t="s">
        <v>1619</v>
      </c>
      <c r="C281" s="1211"/>
      <c r="D281" s="1213"/>
      <c r="E281" s="1190">
        <f>SUM(F281:I281)</f>
        <v>-1290754</v>
      </c>
      <c r="F281" s="1190">
        <v>0</v>
      </c>
      <c r="G281" s="1190">
        <v>0</v>
      </c>
      <c r="H281" s="1190">
        <v>-1290754</v>
      </c>
      <c r="I281" s="1190">
        <v>0</v>
      </c>
      <c r="J281" s="1244" t="s">
        <v>2161</v>
      </c>
    </row>
    <row r="282" spans="2:10">
      <c r="B282" s="1189"/>
      <c r="C282" s="1211"/>
      <c r="D282" s="1213"/>
      <c r="E282" s="1190">
        <f>SUM(F282:I282)</f>
        <v>0</v>
      </c>
      <c r="F282" s="1190"/>
      <c r="G282" s="1190"/>
      <c r="H282" s="1190"/>
      <c r="I282" s="1190"/>
      <c r="J282" s="1244"/>
    </row>
    <row r="283" spans="2:10">
      <c r="B283" s="1189"/>
      <c r="C283" s="1211"/>
      <c r="D283" s="1213"/>
      <c r="E283" s="1190"/>
      <c r="F283" s="1190"/>
      <c r="G283" s="1190"/>
      <c r="H283" s="1190"/>
      <c r="I283" s="1190"/>
      <c r="J283" s="1244"/>
    </row>
    <row r="284" spans="2:10">
      <c r="B284" s="1189"/>
      <c r="C284" s="1211"/>
      <c r="D284" s="1213"/>
      <c r="E284" s="1190"/>
      <c r="F284" s="1190"/>
      <c r="G284" s="1190"/>
      <c r="H284" s="1190"/>
      <c r="I284" s="1190"/>
      <c r="J284" s="1244"/>
    </row>
    <row r="285" spans="2:10">
      <c r="B285" s="1189"/>
      <c r="C285" s="1211"/>
      <c r="D285" s="1213"/>
      <c r="E285" s="1190"/>
      <c r="F285" s="1190"/>
      <c r="G285" s="1190"/>
      <c r="H285" s="1190"/>
      <c r="I285" s="1190"/>
      <c r="J285" s="1244"/>
    </row>
    <row r="286" spans="2:10">
      <c r="B286" s="1189"/>
      <c r="C286" s="1211"/>
      <c r="D286" s="1213"/>
      <c r="E286" s="1190"/>
      <c r="F286" s="1190"/>
      <c r="G286" s="1190"/>
      <c r="H286" s="1190"/>
      <c r="I286" s="1190"/>
      <c r="J286" s="1244"/>
    </row>
    <row r="287" spans="2:10">
      <c r="B287" s="1189"/>
      <c r="C287" s="1211"/>
      <c r="D287" s="1213"/>
      <c r="E287" s="1190"/>
      <c r="F287" s="1190"/>
      <c r="G287" s="1190"/>
      <c r="H287" s="1190"/>
      <c r="I287" s="1190"/>
      <c r="J287" s="1244"/>
    </row>
    <row r="288" spans="2:10" ht="13">
      <c r="B288" s="1197" t="s">
        <v>1620</v>
      </c>
      <c r="C288" s="1220"/>
      <c r="D288" s="1194"/>
      <c r="E288" s="1195">
        <f>SUM(E281:E287)</f>
        <v>-1290754</v>
      </c>
      <c r="F288" s="1195">
        <f>SUM(F281:F287)</f>
        <v>0</v>
      </c>
      <c r="G288" s="1195">
        <f>SUM(G281:G287)</f>
        <v>0</v>
      </c>
      <c r="H288" s="1195">
        <f>SUM(H281:H287)</f>
        <v>-1290754</v>
      </c>
      <c r="I288" s="1195">
        <f>SUM(I281:I287)</f>
        <v>0</v>
      </c>
      <c r="J288" s="1196"/>
    </row>
    <row r="289" spans="2:10" ht="13">
      <c r="B289" s="1197"/>
      <c r="C289" s="1194"/>
      <c r="D289" s="1194"/>
      <c r="E289" s="1195"/>
      <c r="F289" s="1195"/>
      <c r="G289" s="1195"/>
      <c r="H289" s="1195"/>
      <c r="I289" s="1195"/>
      <c r="J289" s="1196"/>
    </row>
    <row r="290" spans="2:10">
      <c r="B290" s="1198" t="s">
        <v>1621</v>
      </c>
      <c r="C290" s="1199"/>
      <c r="D290" s="1218"/>
      <c r="E290" s="1367">
        <f>SUM(F290:I290)</f>
        <v>1290754</v>
      </c>
      <c r="F290" s="1190"/>
      <c r="G290" s="1190"/>
      <c r="H290" s="1190">
        <v>1290754</v>
      </c>
      <c r="I290" s="1190"/>
      <c r="J290" s="1201"/>
    </row>
    <row r="291" spans="2:10" ht="5.15" customHeight="1">
      <c r="B291" s="1192"/>
      <c r="C291" s="1193"/>
      <c r="D291" s="1194"/>
      <c r="E291" s="1195"/>
      <c r="F291" s="1195"/>
      <c r="G291" s="1195"/>
      <c r="H291" s="1195"/>
      <c r="I291" s="1195"/>
      <c r="J291" s="1196"/>
    </row>
    <row r="292" spans="2:10" ht="13">
      <c r="B292" s="1197" t="s">
        <v>1622</v>
      </c>
      <c r="C292" s="1194"/>
      <c r="D292" s="1194"/>
      <c r="E292" s="1195">
        <f>SUM(E290:E290)+E288</f>
        <v>0</v>
      </c>
      <c r="F292" s="1195">
        <f>SUM(F290:F290)+F288</f>
        <v>0</v>
      </c>
      <c r="G292" s="1195">
        <f>SUM(G290:G290)+G288</f>
        <v>0</v>
      </c>
      <c r="H292" s="1195">
        <f>SUM(H290:H290)+H288</f>
        <v>0</v>
      </c>
      <c r="I292" s="1195">
        <f>SUM(I290:I290)+I288</f>
        <v>0</v>
      </c>
      <c r="J292" s="1196"/>
    </row>
    <row r="293" spans="2:10" ht="13">
      <c r="B293" s="1246"/>
      <c r="C293" s="1204"/>
      <c r="D293" s="1204"/>
      <c r="E293" s="1205"/>
      <c r="F293" s="1195"/>
      <c r="G293" s="1195"/>
      <c r="H293" s="1195"/>
      <c r="I293" s="1195"/>
      <c r="J293" s="1207"/>
    </row>
    <row r="294" spans="2:10" ht="13">
      <c r="B294" s="1202" t="s">
        <v>350</v>
      </c>
      <c r="C294" s="1203"/>
      <c r="D294" s="1204"/>
      <c r="E294" s="1205"/>
      <c r="F294" s="1205"/>
      <c r="G294" s="1205"/>
      <c r="H294" s="1205"/>
      <c r="I294" s="1206">
        <f>+'ATT H-9A'!$H$24</f>
        <v>0.14248734844503233</v>
      </c>
      <c r="J294" s="1207"/>
    </row>
    <row r="295" spans="2:10" ht="13">
      <c r="B295" s="1202" t="s">
        <v>297</v>
      </c>
      <c r="C295" s="1203"/>
      <c r="D295" s="1204"/>
      <c r="E295" s="1205"/>
      <c r="F295" s="1205"/>
      <c r="G295" s="1205"/>
      <c r="H295" s="1206">
        <f>+'ATT H-9A'!$H$45</f>
        <v>0.17754725405156993</v>
      </c>
      <c r="I295" s="1205"/>
      <c r="J295" s="1207"/>
    </row>
    <row r="296" spans="2:10" ht="13">
      <c r="B296" s="1202" t="s">
        <v>1086</v>
      </c>
      <c r="C296" s="1203"/>
      <c r="D296" s="1204"/>
      <c r="E296" s="1205"/>
      <c r="F296" s="1205"/>
      <c r="G296" s="1206">
        <v>1</v>
      </c>
      <c r="H296" s="1205"/>
      <c r="I296" s="1205"/>
      <c r="J296" s="1207"/>
    </row>
    <row r="297" spans="2:10" ht="13">
      <c r="B297" s="1202" t="s">
        <v>1087</v>
      </c>
      <c r="C297" s="1203"/>
      <c r="D297" s="1204"/>
      <c r="E297" s="1205"/>
      <c r="F297" s="1206">
        <v>0</v>
      </c>
      <c r="G297" s="1205"/>
      <c r="H297" s="1205"/>
      <c r="I297" s="1205"/>
      <c r="J297" s="1207"/>
    </row>
    <row r="298" spans="2:10" ht="13">
      <c r="B298" s="1203" t="s">
        <v>1623</v>
      </c>
      <c r="C298" s="1203"/>
      <c r="D298" s="1204"/>
      <c r="E298" s="1205">
        <f>F298+G298+H298+I298</f>
        <v>0</v>
      </c>
      <c r="F298" s="1205">
        <f>F297*F292</f>
        <v>0</v>
      </c>
      <c r="G298" s="1205">
        <f>G292*G296</f>
        <v>0</v>
      </c>
      <c r="H298" s="1205">
        <f>H292*H295</f>
        <v>0</v>
      </c>
      <c r="I298" s="1205">
        <f>I294*I292</f>
        <v>0</v>
      </c>
      <c r="J298" s="1207"/>
    </row>
    <row r="299" spans="2:10" ht="12.75" customHeight="1">
      <c r="B299" s="1241"/>
      <c r="C299" s="1243"/>
      <c r="D299" s="1243"/>
      <c r="E299" s="1243"/>
      <c r="F299" s="1243"/>
      <c r="G299" s="1243"/>
      <c r="H299" s="1243"/>
      <c r="I299" s="1243"/>
      <c r="J299" s="1243"/>
    </row>
    <row r="300" spans="2:10" ht="12.75" customHeight="1">
      <c r="B300" s="1241"/>
      <c r="C300" s="1243"/>
      <c r="D300" s="1243"/>
      <c r="E300" s="1243"/>
      <c r="F300" s="1243"/>
      <c r="G300" s="1243"/>
      <c r="H300" s="1243"/>
      <c r="I300" s="1243"/>
      <c r="J300" s="1243"/>
    </row>
    <row r="301" spans="2:10" ht="13">
      <c r="B301" s="1171" t="s">
        <v>216</v>
      </c>
      <c r="C301" s="314"/>
      <c r="D301" s="314"/>
      <c r="E301" s="1171" t="s">
        <v>217</v>
      </c>
      <c r="F301" s="1171" t="s">
        <v>1318</v>
      </c>
      <c r="G301" s="1171" t="s">
        <v>1566</v>
      </c>
      <c r="H301" s="1171" t="s">
        <v>1567</v>
      </c>
      <c r="I301" s="1171" t="s">
        <v>1568</v>
      </c>
      <c r="J301" s="1171" t="s">
        <v>1569</v>
      </c>
    </row>
    <row r="302" spans="2:10" ht="13">
      <c r="B302" s="1180"/>
      <c r="C302" s="314"/>
      <c r="D302" s="314"/>
      <c r="E302" s="1171"/>
      <c r="F302" s="1171" t="s">
        <v>1605</v>
      </c>
      <c r="G302" s="1171" t="s">
        <v>344</v>
      </c>
      <c r="H302" s="1171"/>
      <c r="I302" s="1171"/>
      <c r="J302" s="314"/>
    </row>
    <row r="303" spans="2:10" ht="13">
      <c r="B303" s="1225"/>
      <c r="C303" s="314"/>
      <c r="D303" s="314"/>
      <c r="E303" s="1171"/>
      <c r="F303" s="1171" t="s">
        <v>1606</v>
      </c>
      <c r="G303" s="1171" t="s">
        <v>274</v>
      </c>
      <c r="H303" s="1171" t="s">
        <v>345</v>
      </c>
      <c r="I303" s="1171" t="s">
        <v>346</v>
      </c>
      <c r="J303" s="314"/>
    </row>
    <row r="304" spans="2:10" ht="13">
      <c r="B304" s="1180" t="s">
        <v>1456</v>
      </c>
      <c r="E304" s="1171" t="s">
        <v>59</v>
      </c>
      <c r="F304" s="1174" t="s">
        <v>1607</v>
      </c>
      <c r="G304" s="1171" t="s">
        <v>347</v>
      </c>
      <c r="H304" s="1171" t="s">
        <v>347</v>
      </c>
      <c r="I304" s="1171" t="s">
        <v>347</v>
      </c>
      <c r="J304" s="1171" t="s">
        <v>351</v>
      </c>
    </row>
    <row r="305" spans="2:10" ht="50">
      <c r="B305" s="1364" t="s">
        <v>1456</v>
      </c>
      <c r="C305" s="1211"/>
      <c r="D305" s="1213"/>
      <c r="E305" s="1367">
        <f>SUM(F305:I305)</f>
        <v>125877</v>
      </c>
      <c r="F305" s="1367">
        <v>0</v>
      </c>
      <c r="G305" s="1367">
        <v>0</v>
      </c>
      <c r="H305" s="1367">
        <v>125877</v>
      </c>
      <c r="I305" s="1367">
        <v>0</v>
      </c>
      <c r="J305" s="1244" t="s">
        <v>2161</v>
      </c>
    </row>
    <row r="306" spans="2:10">
      <c r="B306" s="1189"/>
      <c r="C306" s="1211"/>
      <c r="D306" s="1213"/>
      <c r="E306" s="1190"/>
      <c r="F306" s="1190"/>
      <c r="G306" s="1190"/>
      <c r="H306" s="1190"/>
      <c r="I306" s="1190"/>
      <c r="J306" s="1244"/>
    </row>
    <row r="307" spans="2:10">
      <c r="B307" s="1189"/>
      <c r="C307" s="1211"/>
      <c r="D307" s="1213"/>
      <c r="E307" s="1190"/>
      <c r="F307" s="1190"/>
      <c r="G307" s="1190"/>
      <c r="H307" s="1190"/>
      <c r="I307" s="1190"/>
      <c r="J307" s="1244"/>
    </row>
    <row r="308" spans="2:10">
      <c r="B308" s="1189"/>
      <c r="C308" s="1211"/>
      <c r="D308" s="1213"/>
      <c r="E308" s="1190"/>
      <c r="F308" s="1190"/>
      <c r="G308" s="1190"/>
      <c r="H308" s="1190"/>
      <c r="I308" s="1190"/>
      <c r="J308" s="1244"/>
    </row>
    <row r="309" spans="2:10">
      <c r="B309" s="1189"/>
      <c r="C309" s="1211"/>
      <c r="D309" s="1213"/>
      <c r="E309" s="1190"/>
      <c r="F309" s="1190"/>
      <c r="G309" s="1190"/>
      <c r="H309" s="1190"/>
      <c r="I309" s="1190"/>
      <c r="J309" s="1244"/>
    </row>
    <row r="310" spans="2:10">
      <c r="B310" s="1189"/>
      <c r="C310" s="1211"/>
      <c r="D310" s="1213"/>
      <c r="E310" s="1190"/>
      <c r="F310" s="1190"/>
      <c r="G310" s="1190"/>
      <c r="H310" s="1190"/>
      <c r="I310" s="1190"/>
      <c r="J310" s="1244"/>
    </row>
    <row r="311" spans="2:10">
      <c r="B311" s="1189"/>
      <c r="C311" s="1211"/>
      <c r="D311" s="1213"/>
      <c r="E311" s="1190"/>
      <c r="F311" s="1190"/>
      <c r="G311" s="1190"/>
      <c r="H311" s="1190"/>
      <c r="I311" s="1190"/>
      <c r="J311" s="1244"/>
    </row>
    <row r="312" spans="2:10" ht="13">
      <c r="B312" s="1197" t="s">
        <v>1624</v>
      </c>
      <c r="C312" s="1247"/>
      <c r="D312" s="1194"/>
      <c r="E312" s="1195">
        <f>SUM(E305:E311)</f>
        <v>125877</v>
      </c>
      <c r="F312" s="1195">
        <f>SUM(F305:F311)</f>
        <v>0</v>
      </c>
      <c r="G312" s="1195">
        <f>SUM(G305:G311)</f>
        <v>0</v>
      </c>
      <c r="H312" s="1195">
        <f>SUM(H305:H311)</f>
        <v>125877</v>
      </c>
      <c r="I312" s="1195">
        <f>SUM(I305:I311)</f>
        <v>0</v>
      </c>
      <c r="J312" s="1196"/>
    </row>
    <row r="313" spans="2:10" ht="13">
      <c r="B313" s="1221"/>
      <c r="C313" s="1222"/>
      <c r="D313" s="1222"/>
      <c r="E313" s="1205"/>
      <c r="F313" s="1195"/>
      <c r="G313" s="1195"/>
      <c r="H313" s="1195"/>
      <c r="I313" s="1195"/>
      <c r="J313" s="1207"/>
    </row>
    <row r="314" spans="2:10" ht="13">
      <c r="B314" s="1223" t="s">
        <v>350</v>
      </c>
      <c r="C314" s="1224"/>
      <c r="D314" s="1204"/>
      <c r="E314" s="1205"/>
      <c r="F314" s="1205"/>
      <c r="G314" s="1205"/>
      <c r="H314" s="1205"/>
      <c r="I314" s="1206">
        <f>+'ATT H-9A'!$H$24</f>
        <v>0.14248734844503233</v>
      </c>
      <c r="J314" s="1207"/>
    </row>
    <row r="315" spans="2:10" ht="13">
      <c r="B315" s="1202" t="s">
        <v>297</v>
      </c>
      <c r="C315" s="1203"/>
      <c r="D315" s="1204"/>
      <c r="E315" s="1205"/>
      <c r="F315" s="1205"/>
      <c r="G315" s="1205"/>
      <c r="H315" s="1206">
        <f>+'ATT H-9A'!$H$45</f>
        <v>0.17754725405156993</v>
      </c>
      <c r="I315" s="1205"/>
      <c r="J315" s="1207"/>
    </row>
    <row r="316" spans="2:10" ht="13">
      <c r="B316" s="1202" t="s">
        <v>1086</v>
      </c>
      <c r="C316" s="1203"/>
      <c r="D316" s="1204"/>
      <c r="E316" s="1205"/>
      <c r="F316" s="1205"/>
      <c r="G316" s="1206">
        <v>1</v>
      </c>
      <c r="H316" s="1205"/>
      <c r="I316" s="1205"/>
      <c r="J316" s="1207"/>
    </row>
    <row r="317" spans="2:10" ht="13">
      <c r="B317" s="1202" t="s">
        <v>1087</v>
      </c>
      <c r="C317" s="1203"/>
      <c r="D317" s="1204"/>
      <c r="E317" s="1205"/>
      <c r="F317" s="1206">
        <v>0</v>
      </c>
      <c r="G317" s="1205"/>
      <c r="H317" s="1205"/>
      <c r="I317" s="1205"/>
      <c r="J317" s="1207"/>
    </row>
    <row r="318" spans="2:10" ht="13">
      <c r="B318" s="1208" t="s">
        <v>1625</v>
      </c>
      <c r="C318" s="1203"/>
      <c r="D318" s="1204"/>
      <c r="E318" s="1205">
        <f>F318+G318+H318+I318</f>
        <v>22349.115698249469</v>
      </c>
      <c r="F318" s="1205">
        <f>F317*F312</f>
        <v>0</v>
      </c>
      <c r="G318" s="1205">
        <f>G312*G316</f>
        <v>0</v>
      </c>
      <c r="H318" s="1205">
        <f>H312*H315</f>
        <v>22349.115698249469</v>
      </c>
      <c r="I318" s="1205">
        <f>I314*I312</f>
        <v>0</v>
      </c>
      <c r="J318" s="1207"/>
    </row>
    <row r="319" spans="2:10">
      <c r="G319" s="1182"/>
    </row>
    <row r="321" spans="1:10" s="1053" customFormat="1" ht="15.5">
      <c r="A321" s="1248" t="s">
        <v>597</v>
      </c>
      <c r="B321" s="1249"/>
      <c r="C321" s="1249"/>
      <c r="D321" s="169"/>
      <c r="E321" s="169"/>
      <c r="F321" s="563"/>
      <c r="G321" s="169"/>
      <c r="H321" s="169"/>
      <c r="I321" s="169"/>
      <c r="J321" s="169"/>
    </row>
  </sheetData>
  <mergeCells count="12">
    <mergeCell ref="B271:I272"/>
    <mergeCell ref="A1:K1"/>
    <mergeCell ref="A2:K2"/>
    <mergeCell ref="A3:K3"/>
    <mergeCell ref="B6:J6"/>
    <mergeCell ref="B24:I26"/>
    <mergeCell ref="B29:I31"/>
    <mergeCell ref="B123:I123"/>
    <mergeCell ref="B127:I128"/>
    <mergeCell ref="B193:I193"/>
    <mergeCell ref="B197:I198"/>
    <mergeCell ref="B267:I267"/>
  </mergeCells>
  <pageMargins left="0.25" right="0.25" top="0.75" bottom="0.75" header="0.3" footer="0.3"/>
  <pageSetup scale="42" fitToHeight="0" orientation="landscape" r:id="rId1"/>
  <rowBreaks count="4" manualBreakCount="4">
    <brk id="32" max="16383" man="1"/>
    <brk id="112" max="10" man="1"/>
    <brk id="202" max="16383" man="1"/>
    <brk id="2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4066-8DC9-4D7B-8EB0-73E012B2A536}">
  <sheetPr>
    <pageSetUpPr fitToPage="1"/>
  </sheetPr>
  <dimension ref="A1:R320"/>
  <sheetViews>
    <sheetView view="pageBreakPreview" topLeftCell="A253" zoomScale="55" zoomScaleNormal="90" zoomScaleSheetLayoutView="55" workbookViewId="0">
      <selection activeCell="A7" sqref="A1:XFD1048576"/>
    </sheetView>
  </sheetViews>
  <sheetFormatPr defaultColWidth="9.1796875" defaultRowHeight="12.5"/>
  <cols>
    <col min="1" max="1" width="5.7265625" style="1167" customWidth="1"/>
    <col min="2" max="2" width="11.453125" style="1169" customWidth="1"/>
    <col min="3" max="3" width="75.1796875" style="1167" customWidth="1"/>
    <col min="4" max="4" width="0.54296875" style="1167" customWidth="1"/>
    <col min="5" max="5" width="29.1796875" style="1167" customWidth="1"/>
    <col min="6" max="6" width="26.453125" style="1167" customWidth="1"/>
    <col min="7" max="7" width="18.81640625" style="1167" customWidth="1"/>
    <col min="8" max="8" width="27.81640625" style="1167" customWidth="1"/>
    <col min="9" max="9" width="28.81640625" style="1167" customWidth="1"/>
    <col min="10" max="10" width="85.7265625" style="1167" customWidth="1"/>
    <col min="11" max="11" width="5.7265625" style="1167" customWidth="1"/>
    <col min="12" max="12" width="15.81640625" style="1167" bestFit="1" customWidth="1"/>
    <col min="13" max="16384" width="9.1796875" style="1167"/>
  </cols>
  <sheetData>
    <row r="1" spans="1:18" ht="15.5">
      <c r="A1" s="1841" t="s">
        <v>343</v>
      </c>
      <c r="B1" s="1841"/>
      <c r="C1" s="1841"/>
      <c r="D1" s="1841"/>
      <c r="E1" s="1841"/>
      <c r="F1" s="1841"/>
      <c r="G1" s="1841"/>
      <c r="H1" s="1841"/>
      <c r="I1" s="1841"/>
      <c r="J1" s="1841"/>
      <c r="K1" s="1841"/>
    </row>
    <row r="2" spans="1:18" ht="15.5">
      <c r="A2" s="1842" t="s">
        <v>1049</v>
      </c>
      <c r="B2" s="1842"/>
      <c r="C2" s="1842"/>
      <c r="D2" s="1842"/>
      <c r="E2" s="1842"/>
      <c r="F2" s="1842"/>
      <c r="G2" s="1842"/>
      <c r="H2" s="1842"/>
      <c r="I2" s="1842"/>
      <c r="J2" s="1842"/>
      <c r="K2" s="1842"/>
    </row>
    <row r="3" spans="1:18" ht="15.5">
      <c r="A3" s="1841" t="s">
        <v>1604</v>
      </c>
      <c r="B3" s="1841"/>
      <c r="C3" s="1841"/>
      <c r="D3" s="1841"/>
      <c r="E3" s="1841"/>
      <c r="F3" s="1841"/>
      <c r="G3" s="1841"/>
      <c r="H3" s="1841"/>
      <c r="I3" s="1841"/>
      <c r="J3" s="1841"/>
      <c r="K3" s="1841"/>
    </row>
    <row r="4" spans="1:18" ht="13">
      <c r="B4" s="1168"/>
    </row>
    <row r="5" spans="1:18" ht="13">
      <c r="I5" s="1170"/>
    </row>
    <row r="6" spans="1:18" ht="13">
      <c r="B6" s="1843" t="s">
        <v>2154</v>
      </c>
      <c r="C6" s="1843"/>
      <c r="D6" s="1843"/>
      <c r="E6" s="1843"/>
      <c r="F6" s="1843"/>
      <c r="G6" s="1843"/>
      <c r="H6" s="1843"/>
      <c r="I6" s="1843"/>
      <c r="J6" s="1843"/>
    </row>
    <row r="7" spans="1:18" ht="13">
      <c r="F7" s="1171" t="s">
        <v>1605</v>
      </c>
      <c r="G7" s="1172" t="s">
        <v>344</v>
      </c>
      <c r="H7" s="1172"/>
    </row>
    <row r="8" spans="1:18" ht="13">
      <c r="F8" s="1171" t="s">
        <v>1606</v>
      </c>
      <c r="G8" s="1172" t="s">
        <v>274</v>
      </c>
      <c r="H8" s="1172" t="s">
        <v>345</v>
      </c>
      <c r="I8" s="1172" t="s">
        <v>346</v>
      </c>
    </row>
    <row r="9" spans="1:18" ht="13">
      <c r="B9" s="1173" t="s">
        <v>691</v>
      </c>
      <c r="C9" s="1173" t="s">
        <v>1079</v>
      </c>
      <c r="E9" s="1174" t="s">
        <v>59</v>
      </c>
      <c r="F9" s="1174" t="s">
        <v>1607</v>
      </c>
      <c r="G9" s="1175" t="s">
        <v>347</v>
      </c>
      <c r="H9" s="1175" t="s">
        <v>347</v>
      </c>
      <c r="I9" s="1175" t="s">
        <v>347</v>
      </c>
    </row>
    <row r="10" spans="1:18" ht="5.15" customHeight="1"/>
    <row r="11" spans="1:18">
      <c r="B11" s="1169">
        <v>1</v>
      </c>
      <c r="C11" s="1176" t="s">
        <v>349</v>
      </c>
      <c r="E11" s="1177">
        <f>F11+G11+H11+I11</f>
        <v>2285928.1735482141</v>
      </c>
      <c r="F11" s="1177">
        <f>F82</f>
        <v>0</v>
      </c>
      <c r="G11" s="1177">
        <f>G82</f>
        <v>0</v>
      </c>
      <c r="H11" s="1177">
        <f>H82</f>
        <v>302794.24460724089</v>
      </c>
      <c r="I11" s="1177">
        <f>I82</f>
        <v>1983133.9289409732</v>
      </c>
    </row>
    <row r="12" spans="1:18">
      <c r="B12" s="1169">
        <f>B11+1</f>
        <v>2</v>
      </c>
      <c r="C12" s="1176" t="s">
        <v>1080</v>
      </c>
      <c r="E12" s="1177">
        <f>F12+G12+H12+I12</f>
        <v>0</v>
      </c>
      <c r="F12" s="1177">
        <v>0</v>
      </c>
      <c r="G12" s="1177">
        <v>0</v>
      </c>
      <c r="H12" s="1177">
        <v>0</v>
      </c>
      <c r="I12" s="1177">
        <v>0</v>
      </c>
      <c r="O12" s="1178"/>
      <c r="P12" s="1178"/>
      <c r="Q12" s="1178"/>
      <c r="R12" s="1178"/>
    </row>
    <row r="13" spans="1:18">
      <c r="B13" s="1169">
        <f>B12+1</f>
        <v>3</v>
      </c>
      <c r="C13" s="1176" t="s">
        <v>1081</v>
      </c>
      <c r="E13" s="1177">
        <f>F13+G13+H13+I13</f>
        <v>-148225095.81276774</v>
      </c>
      <c r="F13" s="1177">
        <f>F153</f>
        <v>0</v>
      </c>
      <c r="G13" s="1177">
        <f>G153</f>
        <v>0</v>
      </c>
      <c r="H13" s="1177">
        <f>H153</f>
        <v>-148225095.81276774</v>
      </c>
      <c r="I13" s="1177">
        <f>I153</f>
        <v>0</v>
      </c>
      <c r="O13" s="1178"/>
      <c r="P13" s="1178"/>
      <c r="Q13" s="1178"/>
      <c r="R13" s="1178"/>
    </row>
    <row r="14" spans="1:18">
      <c r="B14" s="1169">
        <f>B13+1</f>
        <v>4</v>
      </c>
      <c r="C14" s="1176" t="s">
        <v>348</v>
      </c>
      <c r="E14" s="1177">
        <f>F14+G14+H14+I14</f>
        <v>-11003205.099748766</v>
      </c>
      <c r="F14" s="1177">
        <f>F226</f>
        <v>0</v>
      </c>
      <c r="G14" s="1177">
        <f>G226</f>
        <v>0</v>
      </c>
      <c r="H14" s="1177">
        <f>H226</f>
        <v>-1488267.4667901283</v>
      </c>
      <c r="I14" s="1177">
        <f>I226</f>
        <v>-9514937.6329586376</v>
      </c>
      <c r="O14" s="1178"/>
      <c r="P14" s="1178"/>
      <c r="Q14" s="1178"/>
      <c r="R14" s="1178"/>
    </row>
    <row r="15" spans="1:18">
      <c r="B15" s="1169">
        <f>B14+1</f>
        <v>5</v>
      </c>
      <c r="C15" s="1176" t="s">
        <v>377</v>
      </c>
      <c r="E15" s="1177">
        <f>F15+G15+H15+I15</f>
        <v>0</v>
      </c>
      <c r="F15" s="1177">
        <f>F297</f>
        <v>0</v>
      </c>
      <c r="G15" s="1177">
        <f>G297</f>
        <v>0</v>
      </c>
      <c r="H15" s="1177">
        <f>H297</f>
        <v>0</v>
      </c>
      <c r="I15" s="1177">
        <f>I297</f>
        <v>0</v>
      </c>
      <c r="O15" s="1178"/>
      <c r="P15" s="1178"/>
      <c r="Q15" s="1178"/>
      <c r="R15" s="1178"/>
    </row>
    <row r="16" spans="1:18" ht="5.15" customHeight="1">
      <c r="E16" s="1179"/>
      <c r="F16" s="1179"/>
      <c r="G16" s="1179"/>
      <c r="H16" s="1179"/>
      <c r="I16" s="1179"/>
    </row>
    <row r="17" spans="2:10" ht="13">
      <c r="B17" s="1169">
        <f>B16+6</f>
        <v>6</v>
      </c>
      <c r="C17" s="1180" t="s">
        <v>1082</v>
      </c>
      <c r="E17" s="1177">
        <f>E11+E12+E13+E14+E15</f>
        <v>-156942372.73896828</v>
      </c>
      <c r="F17" s="1177">
        <f>F11+F12+F13+F14+F15</f>
        <v>0</v>
      </c>
      <c r="G17" s="1177">
        <f>G11+G12+G13+G14+G15</f>
        <v>0</v>
      </c>
      <c r="H17" s="1177">
        <f>H11+H12+H13+H14+H15</f>
        <v>-149410569.03495064</v>
      </c>
      <c r="I17" s="1177">
        <f>I11+I12+I13+I14+I15</f>
        <v>-7531803.7040176643</v>
      </c>
      <c r="J17" s="1181"/>
    </row>
    <row r="18" spans="2:10">
      <c r="C18" s="1169"/>
      <c r="F18" s="1178"/>
      <c r="G18" s="1178"/>
      <c r="H18" s="1178"/>
      <c r="I18" s="1182"/>
    </row>
    <row r="19" spans="2:10">
      <c r="C19" s="1169"/>
      <c r="F19" s="1178"/>
      <c r="G19" s="1178"/>
      <c r="H19" s="1178"/>
      <c r="I19" s="1182"/>
    </row>
    <row r="20" spans="2:10" ht="13">
      <c r="B20" s="1183" t="s">
        <v>691</v>
      </c>
      <c r="C20" s="1183" t="s">
        <v>1608</v>
      </c>
      <c r="D20" s="314"/>
      <c r="E20" s="1174" t="s">
        <v>59</v>
      </c>
      <c r="F20" s="314"/>
      <c r="G20" s="314"/>
      <c r="H20" s="314"/>
      <c r="I20" s="1184"/>
    </row>
    <row r="21" spans="2:10">
      <c r="B21" s="314"/>
      <c r="C21" s="314"/>
      <c r="D21" s="314"/>
      <c r="E21" s="314"/>
      <c r="F21" s="314"/>
      <c r="G21" s="314"/>
      <c r="H21" s="314"/>
      <c r="I21" s="1184"/>
    </row>
    <row r="22" spans="2:10">
      <c r="B22" s="1185">
        <f>B17+1</f>
        <v>7</v>
      </c>
      <c r="C22" s="1167" t="s">
        <v>1609</v>
      </c>
      <c r="E22" s="1177">
        <v>-2556036.1726107001</v>
      </c>
      <c r="I22" s="1186"/>
    </row>
    <row r="23" spans="2:10">
      <c r="B23" s="1167"/>
    </row>
    <row r="24" spans="2:10" ht="12.75" customHeight="1">
      <c r="B24" s="1844" t="s">
        <v>1610</v>
      </c>
      <c r="C24" s="1844"/>
      <c r="D24" s="1844"/>
      <c r="E24" s="1844"/>
      <c r="F24" s="1844"/>
      <c r="G24" s="1844"/>
      <c r="H24" s="1844"/>
      <c r="I24" s="1844"/>
    </row>
    <row r="25" spans="2:10">
      <c r="B25" s="1844"/>
      <c r="C25" s="1844"/>
      <c r="D25" s="1844"/>
      <c r="E25" s="1844"/>
      <c r="F25" s="1844"/>
      <c r="G25" s="1844"/>
      <c r="H25" s="1844"/>
      <c r="I25" s="1844"/>
    </row>
    <row r="26" spans="2:10">
      <c r="B26" s="1844"/>
      <c r="C26" s="1844"/>
      <c r="D26" s="1844"/>
      <c r="E26" s="1844"/>
      <c r="F26" s="1844"/>
      <c r="G26" s="1844"/>
      <c r="H26" s="1844"/>
      <c r="I26" s="1844"/>
    </row>
    <row r="27" spans="2:10">
      <c r="B27" s="314"/>
      <c r="C27" s="314"/>
      <c r="D27" s="314"/>
      <c r="E27" s="314"/>
      <c r="F27" s="314"/>
      <c r="G27" s="314"/>
      <c r="H27" s="314"/>
      <c r="I27" s="1184"/>
    </row>
    <row r="29" spans="2:10" ht="15" customHeight="1">
      <c r="B29" s="1844" t="s">
        <v>1611</v>
      </c>
      <c r="C29" s="1844"/>
      <c r="D29" s="1844"/>
      <c r="E29" s="1844"/>
      <c r="F29" s="1844"/>
      <c r="G29" s="1844"/>
      <c r="H29" s="1844"/>
      <c r="I29" s="1844"/>
      <c r="J29" s="1187"/>
    </row>
    <row r="30" spans="2:10">
      <c r="B30" s="1844"/>
      <c r="C30" s="1844"/>
      <c r="D30" s="1844"/>
      <c r="E30" s="1844"/>
      <c r="F30" s="1844"/>
      <c r="G30" s="1844"/>
      <c r="H30" s="1844"/>
      <c r="I30" s="1844"/>
      <c r="J30" s="1187"/>
    </row>
    <row r="31" spans="2:10">
      <c r="B31" s="1844"/>
      <c r="C31" s="1844"/>
      <c r="D31" s="1844"/>
      <c r="E31" s="1844"/>
      <c r="F31" s="1844"/>
      <c r="G31" s="1844"/>
      <c r="H31" s="1844"/>
      <c r="I31" s="1844"/>
      <c r="J31" s="1187"/>
    </row>
    <row r="32" spans="2:10" ht="13">
      <c r="I32" s="1170"/>
    </row>
    <row r="33" spans="2:10" ht="13">
      <c r="B33" s="1171" t="s">
        <v>216</v>
      </c>
      <c r="C33" s="1171"/>
      <c r="D33" s="1171"/>
      <c r="E33" s="1171" t="s">
        <v>217</v>
      </c>
      <c r="F33" s="1171" t="s">
        <v>1318</v>
      </c>
      <c r="G33" s="1171" t="s">
        <v>1566</v>
      </c>
      <c r="H33" s="1171" t="s">
        <v>1567</v>
      </c>
      <c r="I33" s="1171" t="s">
        <v>1568</v>
      </c>
      <c r="J33" s="1171" t="s">
        <v>1569</v>
      </c>
    </row>
    <row r="34" spans="2:10" ht="13">
      <c r="B34" s="1180"/>
      <c r="C34" s="314"/>
      <c r="D34" s="314"/>
      <c r="E34" s="1171"/>
      <c r="F34" s="1171" t="s">
        <v>1605</v>
      </c>
      <c r="G34" s="1171" t="s">
        <v>344</v>
      </c>
      <c r="H34" s="1171"/>
      <c r="I34" s="1171"/>
      <c r="J34" s="314"/>
    </row>
    <row r="35" spans="2:10" ht="13">
      <c r="B35" s="1188"/>
      <c r="C35" s="314"/>
      <c r="D35" s="314"/>
      <c r="E35" s="1171"/>
      <c r="F35" s="1171" t="s">
        <v>1606</v>
      </c>
      <c r="G35" s="1171" t="s">
        <v>274</v>
      </c>
      <c r="H35" s="1171" t="s">
        <v>345</v>
      </c>
      <c r="I35" s="1171" t="s">
        <v>346</v>
      </c>
      <c r="J35" s="314"/>
    </row>
    <row r="36" spans="2:10" ht="13">
      <c r="B36" s="1180" t="s">
        <v>1083</v>
      </c>
      <c r="C36" s="314"/>
      <c r="D36" s="314"/>
      <c r="E36" s="1171" t="s">
        <v>59</v>
      </c>
      <c r="F36" s="1174" t="s">
        <v>1607</v>
      </c>
      <c r="G36" s="1171" t="s">
        <v>347</v>
      </c>
      <c r="H36" s="1171" t="s">
        <v>347</v>
      </c>
      <c r="I36" s="1171" t="s">
        <v>347</v>
      </c>
      <c r="J36" s="1171" t="s">
        <v>351</v>
      </c>
    </row>
    <row r="37" spans="2:10" ht="25">
      <c r="B37" s="1364" t="s">
        <v>1881</v>
      </c>
      <c r="C37" s="1365"/>
      <c r="D37" s="1366"/>
      <c r="E37" s="1367">
        <f>SUM(F37:I37)</f>
        <v>1870400.3140172218</v>
      </c>
      <c r="F37" s="1367">
        <v>0</v>
      </c>
      <c r="G37" s="1367">
        <v>0</v>
      </c>
      <c r="H37" s="1367">
        <v>0</v>
      </c>
      <c r="I37" s="1367">
        <v>1870400.3140172218</v>
      </c>
      <c r="J37" s="1418" t="s">
        <v>1904</v>
      </c>
    </row>
    <row r="38" spans="2:10" ht="25">
      <c r="B38" s="1364" t="s">
        <v>1258</v>
      </c>
      <c r="C38" s="1365"/>
      <c r="D38" s="1366"/>
      <c r="E38" s="1367">
        <f t="shared" ref="E38:E68" si="0">SUM(F38:I38)</f>
        <v>3665568.4502615998</v>
      </c>
      <c r="F38" s="1367">
        <v>0</v>
      </c>
      <c r="G38" s="1367">
        <v>0</v>
      </c>
      <c r="H38" s="1367">
        <v>0</v>
      </c>
      <c r="I38" s="1367">
        <v>3665568.4502615998</v>
      </c>
      <c r="J38" s="1418" t="s">
        <v>1904</v>
      </c>
    </row>
    <row r="39" spans="2:10">
      <c r="B39" s="1364" t="s">
        <v>1882</v>
      </c>
      <c r="C39" s="1365"/>
      <c r="D39" s="1366"/>
      <c r="E39" s="1367">
        <f t="shared" si="0"/>
        <v>11081076.962147294</v>
      </c>
      <c r="F39" s="1367">
        <v>11081076.962147294</v>
      </c>
      <c r="G39" s="1367">
        <v>0</v>
      </c>
      <c r="H39" s="1367">
        <v>0</v>
      </c>
      <c r="I39" s="1367">
        <v>0</v>
      </c>
      <c r="J39" s="1418" t="s">
        <v>1905</v>
      </c>
    </row>
    <row r="40" spans="2:10">
      <c r="B40" s="1364" t="s">
        <v>1923</v>
      </c>
      <c r="C40" s="1365"/>
      <c r="D40" s="1366"/>
      <c r="E40" s="1367">
        <f t="shared" si="0"/>
        <v>95071.65</v>
      </c>
      <c r="F40" s="1367">
        <v>95071.65</v>
      </c>
      <c r="G40" s="1367">
        <v>0</v>
      </c>
      <c r="H40" s="1367">
        <v>0</v>
      </c>
      <c r="I40" s="1367">
        <v>0</v>
      </c>
      <c r="J40" s="1418" t="s">
        <v>1905</v>
      </c>
    </row>
    <row r="41" spans="2:10">
      <c r="B41" s="1364" t="s">
        <v>1883</v>
      </c>
      <c r="C41" s="1365"/>
      <c r="D41" s="1366"/>
      <c r="E41" s="1367">
        <f t="shared" si="0"/>
        <v>19289900</v>
      </c>
      <c r="F41" s="1367">
        <v>19289900</v>
      </c>
      <c r="G41" s="1367">
        <v>0</v>
      </c>
      <c r="H41" s="1367">
        <v>0</v>
      </c>
      <c r="I41" s="1367">
        <v>0</v>
      </c>
      <c r="J41" s="1418" t="s">
        <v>1905</v>
      </c>
    </row>
    <row r="42" spans="2:10" ht="37.5">
      <c r="B42" s="1364" t="s">
        <v>1884</v>
      </c>
      <c r="C42" s="1365"/>
      <c r="D42" s="1366"/>
      <c r="E42" s="1367">
        <f t="shared" si="0"/>
        <v>1519467.6137814999</v>
      </c>
      <c r="F42" s="1367">
        <v>0</v>
      </c>
      <c r="G42" s="1367">
        <v>0</v>
      </c>
      <c r="H42" s="1367">
        <v>0</v>
      </c>
      <c r="I42" s="1367">
        <v>1519467.6137814999</v>
      </c>
      <c r="J42" s="1418" t="s">
        <v>1906</v>
      </c>
    </row>
    <row r="43" spans="2:10">
      <c r="B43" s="1364" t="s">
        <v>1885</v>
      </c>
      <c r="C43" s="1365"/>
      <c r="D43" s="1366"/>
      <c r="E43" s="1367">
        <f t="shared" si="0"/>
        <v>7377971.3654269502</v>
      </c>
      <c r="F43" s="1367">
        <v>7377971.3654269502</v>
      </c>
      <c r="G43" s="1367">
        <v>0</v>
      </c>
      <c r="H43" s="1367">
        <v>0</v>
      </c>
      <c r="I43" s="1367">
        <v>0</v>
      </c>
      <c r="J43" s="1418" t="s">
        <v>1905</v>
      </c>
    </row>
    <row r="44" spans="2:10" ht="25">
      <c r="B44" s="1364" t="s">
        <v>1886</v>
      </c>
      <c r="C44" s="1365"/>
      <c r="D44" s="1366"/>
      <c r="E44" s="1367">
        <f t="shared" si="0"/>
        <v>261500.51736990002</v>
      </c>
      <c r="F44" s="1367">
        <v>0</v>
      </c>
      <c r="G44" s="1367">
        <v>0</v>
      </c>
      <c r="H44" s="1367">
        <v>0</v>
      </c>
      <c r="I44" s="1367">
        <v>261500.51736990002</v>
      </c>
      <c r="J44" s="1418" t="s">
        <v>1904</v>
      </c>
    </row>
    <row r="45" spans="2:10">
      <c r="B45" s="1364" t="s">
        <v>1525</v>
      </c>
      <c r="C45" s="1365"/>
      <c r="D45" s="1366"/>
      <c r="E45" s="1367">
        <f t="shared" si="0"/>
        <v>0</v>
      </c>
      <c r="F45" s="1367">
        <v>0</v>
      </c>
      <c r="G45" s="1367">
        <v>0</v>
      </c>
      <c r="H45" s="1367">
        <v>0</v>
      </c>
      <c r="I45" s="1367">
        <v>0</v>
      </c>
      <c r="J45" s="1418" t="s">
        <v>1905</v>
      </c>
    </row>
    <row r="46" spans="2:10" ht="25">
      <c r="B46" s="1364" t="s">
        <v>1765</v>
      </c>
      <c r="C46" s="1365"/>
      <c r="D46" s="1366"/>
      <c r="E46" s="1367">
        <f t="shared" si="0"/>
        <v>49781.399047594998</v>
      </c>
      <c r="F46" s="1367">
        <v>0</v>
      </c>
      <c r="G46" s="1367">
        <v>0</v>
      </c>
      <c r="H46" s="1367">
        <v>0</v>
      </c>
      <c r="I46" s="1367">
        <v>49781.399047594998</v>
      </c>
      <c r="J46" s="1418" t="s">
        <v>1904</v>
      </c>
    </row>
    <row r="47" spans="2:10" ht="25">
      <c r="B47" s="1364" t="s">
        <v>1260</v>
      </c>
      <c r="C47" s="1365"/>
      <c r="D47" s="1366"/>
      <c r="E47" s="1367">
        <f t="shared" si="0"/>
        <v>2090970.4256252316</v>
      </c>
      <c r="F47" s="1367">
        <v>0</v>
      </c>
      <c r="G47" s="1367">
        <v>0</v>
      </c>
      <c r="H47" s="1367">
        <v>0</v>
      </c>
      <c r="I47" s="1367">
        <v>2090970.4256252316</v>
      </c>
      <c r="J47" s="1418" t="s">
        <v>1904</v>
      </c>
    </row>
    <row r="48" spans="2:10" ht="25">
      <c r="B48" s="1364" t="s">
        <v>1887</v>
      </c>
      <c r="C48" s="1365"/>
      <c r="D48" s="1366"/>
      <c r="E48" s="1367">
        <f t="shared" si="0"/>
        <v>8755596.0414829012</v>
      </c>
      <c r="F48" s="1367">
        <v>0</v>
      </c>
      <c r="G48" s="1367">
        <v>0</v>
      </c>
      <c r="H48" s="1367">
        <v>478449.2745988</v>
      </c>
      <c r="I48" s="1367">
        <v>8277146.7668841016</v>
      </c>
      <c r="J48" s="1418" t="s">
        <v>1904</v>
      </c>
    </row>
    <row r="49" spans="2:10">
      <c r="B49" s="1364" t="s">
        <v>353</v>
      </c>
      <c r="C49" s="1365"/>
      <c r="D49" s="1366"/>
      <c r="E49" s="1367">
        <f t="shared" si="0"/>
        <v>14534310.625650899</v>
      </c>
      <c r="F49" s="1367">
        <v>14534310.625650899</v>
      </c>
      <c r="G49" s="1367">
        <v>0</v>
      </c>
      <c r="H49" s="1367">
        <v>0</v>
      </c>
      <c r="I49" s="1367">
        <v>0</v>
      </c>
      <c r="J49" s="1418" t="s">
        <v>1905</v>
      </c>
    </row>
    <row r="50" spans="2:10">
      <c r="B50" s="1364" t="s">
        <v>1888</v>
      </c>
      <c r="C50" s="1365"/>
      <c r="D50" s="1366"/>
      <c r="E50" s="1367">
        <f t="shared" si="0"/>
        <v>12401958.927187299</v>
      </c>
      <c r="F50" s="1367">
        <v>12401958.927187299</v>
      </c>
      <c r="G50" s="1367">
        <v>0</v>
      </c>
      <c r="H50" s="1367">
        <v>0</v>
      </c>
      <c r="I50" s="1367">
        <v>0</v>
      </c>
      <c r="J50" s="1418" t="s">
        <v>1905</v>
      </c>
    </row>
    <row r="51" spans="2:10">
      <c r="B51" s="1364" t="s">
        <v>352</v>
      </c>
      <c r="C51" s="1365"/>
      <c r="D51" s="1366"/>
      <c r="E51" s="1367">
        <f t="shared" si="0"/>
        <v>1495054.1895792985</v>
      </c>
      <c r="F51" s="1367">
        <v>1495054.1895792985</v>
      </c>
      <c r="G51" s="1367">
        <v>0</v>
      </c>
      <c r="H51" s="1367">
        <v>0</v>
      </c>
      <c r="I51" s="1367">
        <v>0</v>
      </c>
      <c r="J51" s="1418" t="s">
        <v>1905</v>
      </c>
    </row>
    <row r="52" spans="2:10">
      <c r="B52" s="1364" t="s">
        <v>1924</v>
      </c>
      <c r="C52" s="1365"/>
      <c r="D52" s="1366"/>
      <c r="E52" s="1367">
        <f t="shared" si="0"/>
        <v>24124698.024686702</v>
      </c>
      <c r="F52" s="1367">
        <v>24124698.024686702</v>
      </c>
      <c r="G52" s="1367">
        <v>0</v>
      </c>
      <c r="H52" s="1367">
        <v>0</v>
      </c>
      <c r="I52" s="1367">
        <v>0</v>
      </c>
      <c r="J52" s="1418" t="s">
        <v>1905</v>
      </c>
    </row>
    <row r="53" spans="2:10" ht="25">
      <c r="B53" s="1364" t="s">
        <v>1889</v>
      </c>
      <c r="C53" s="1365"/>
      <c r="D53" s="1366"/>
      <c r="E53" s="1367">
        <f t="shared" si="0"/>
        <v>24235.6815522</v>
      </c>
      <c r="F53" s="1367">
        <v>0</v>
      </c>
      <c r="G53" s="1367">
        <v>0</v>
      </c>
      <c r="H53" s="1367">
        <v>0</v>
      </c>
      <c r="I53" s="1367">
        <v>24235.6815522</v>
      </c>
      <c r="J53" s="1418" t="s">
        <v>1904</v>
      </c>
    </row>
    <row r="54" spans="2:10">
      <c r="B54" s="1364" t="s">
        <v>1794</v>
      </c>
      <c r="C54" s="1365"/>
      <c r="D54" s="1366"/>
      <c r="E54" s="1367">
        <f t="shared" si="0"/>
        <v>-1029306.4985473973</v>
      </c>
      <c r="F54" s="1367">
        <v>-1029306.4985473973</v>
      </c>
      <c r="G54" s="1367">
        <v>0</v>
      </c>
      <c r="H54" s="1367">
        <v>0</v>
      </c>
      <c r="I54" s="1367">
        <v>0</v>
      </c>
      <c r="J54" s="1418" t="s">
        <v>1905</v>
      </c>
    </row>
    <row r="55" spans="2:10">
      <c r="B55" s="1364" t="s">
        <v>1890</v>
      </c>
      <c r="C55" s="1365"/>
      <c r="D55" s="1366"/>
      <c r="E55" s="1367">
        <f t="shared" si="0"/>
        <v>1364311.5214699998</v>
      </c>
      <c r="F55" s="1367">
        <v>1364311.5214699998</v>
      </c>
      <c r="G55" s="1367">
        <v>0</v>
      </c>
      <c r="H55" s="1367">
        <v>0</v>
      </c>
      <c r="I55" s="1367">
        <v>0</v>
      </c>
      <c r="J55" s="1418" t="s">
        <v>1905</v>
      </c>
    </row>
    <row r="56" spans="2:10">
      <c r="B56" s="1364" t="s">
        <v>1389</v>
      </c>
      <c r="C56" s="1365"/>
      <c r="D56" s="1366"/>
      <c r="E56" s="1367">
        <f t="shared" si="0"/>
        <v>0</v>
      </c>
      <c r="F56" s="1367">
        <v>0</v>
      </c>
      <c r="G56" s="1367">
        <v>0</v>
      </c>
      <c r="H56" s="1367">
        <v>0</v>
      </c>
      <c r="I56" s="1367">
        <v>0</v>
      </c>
      <c r="J56" s="1418" t="s">
        <v>1905</v>
      </c>
    </row>
    <row r="57" spans="2:10">
      <c r="B57" s="1364" t="s">
        <v>1891</v>
      </c>
      <c r="C57" s="1365"/>
      <c r="D57" s="1366"/>
      <c r="E57" s="1367">
        <f t="shared" si="0"/>
        <v>3166488.3299972001</v>
      </c>
      <c r="F57" s="1367">
        <v>3166488.3299972001</v>
      </c>
      <c r="G57" s="1367">
        <v>0</v>
      </c>
      <c r="H57" s="1367">
        <v>0</v>
      </c>
      <c r="I57" s="1367">
        <v>0</v>
      </c>
      <c r="J57" s="1418" t="s">
        <v>1905</v>
      </c>
    </row>
    <row r="58" spans="2:10">
      <c r="B58" s="1364" t="s">
        <v>1925</v>
      </c>
      <c r="C58" s="1365"/>
      <c r="D58" s="1366"/>
      <c r="E58" s="1367">
        <f t="shared" si="0"/>
        <v>0</v>
      </c>
      <c r="F58" s="1367">
        <v>0</v>
      </c>
      <c r="G58" s="1367">
        <v>0</v>
      </c>
      <c r="H58" s="1367">
        <v>0</v>
      </c>
      <c r="I58" s="1367">
        <v>0</v>
      </c>
      <c r="J58" s="1418" t="s">
        <v>1905</v>
      </c>
    </row>
    <row r="59" spans="2:10">
      <c r="B59" s="1364" t="s">
        <v>1892</v>
      </c>
      <c r="C59" s="1365"/>
      <c r="D59" s="1366"/>
      <c r="E59" s="1367">
        <f t="shared" si="0"/>
        <v>70209.895453399993</v>
      </c>
      <c r="F59" s="1367">
        <v>70209.895453399993</v>
      </c>
      <c r="G59" s="1367">
        <v>0</v>
      </c>
      <c r="H59" s="1367">
        <v>0</v>
      </c>
      <c r="I59" s="1367">
        <v>0</v>
      </c>
      <c r="J59" s="1418" t="s">
        <v>1905</v>
      </c>
    </row>
    <row r="60" spans="2:10">
      <c r="B60" s="1364" t="s">
        <v>1926</v>
      </c>
      <c r="C60" s="1365"/>
      <c r="D60" s="1366"/>
      <c r="E60" s="1367">
        <f t="shared" si="0"/>
        <v>754885.80300000007</v>
      </c>
      <c r="F60" s="1367">
        <v>754885.80300000007</v>
      </c>
      <c r="G60" s="1367">
        <v>0</v>
      </c>
      <c r="H60" s="1367">
        <v>0</v>
      </c>
      <c r="I60" s="1367">
        <v>0</v>
      </c>
      <c r="J60" s="1418" t="s">
        <v>1905</v>
      </c>
    </row>
    <row r="61" spans="2:10">
      <c r="B61" s="1364" t="s">
        <v>1893</v>
      </c>
      <c r="C61" s="1365"/>
      <c r="D61" s="1366"/>
      <c r="E61" s="1367">
        <f t="shared" si="0"/>
        <v>11221.61109</v>
      </c>
      <c r="F61" s="1367">
        <v>11221.61109</v>
      </c>
      <c r="G61" s="1367">
        <v>0</v>
      </c>
      <c r="H61" s="1367">
        <v>0</v>
      </c>
      <c r="I61" s="1367">
        <v>0</v>
      </c>
      <c r="J61" s="1418" t="s">
        <v>1905</v>
      </c>
    </row>
    <row r="62" spans="2:10" ht="25">
      <c r="B62" s="1364" t="s">
        <v>1894</v>
      </c>
      <c r="C62" s="1365"/>
      <c r="D62" s="1366"/>
      <c r="E62" s="1367">
        <f t="shared" si="0"/>
        <v>20566.76047018946</v>
      </c>
      <c r="F62" s="1367">
        <v>0</v>
      </c>
      <c r="G62" s="1367">
        <v>0</v>
      </c>
      <c r="H62" s="1367">
        <v>20566.76047018946</v>
      </c>
      <c r="I62" s="1367">
        <v>0</v>
      </c>
      <c r="J62" s="1418" t="s">
        <v>1907</v>
      </c>
    </row>
    <row r="63" spans="2:10">
      <c r="B63" s="1364" t="s">
        <v>1953</v>
      </c>
      <c r="C63" s="1365"/>
      <c r="D63" s="1366"/>
      <c r="E63" s="1367">
        <f t="shared" si="0"/>
        <v>1521170.5601779285</v>
      </c>
      <c r="F63" s="1367">
        <v>1521170.5601779285</v>
      </c>
      <c r="G63" s="1367">
        <v>0</v>
      </c>
      <c r="H63" s="1367">
        <v>0</v>
      </c>
      <c r="I63" s="1367">
        <v>0</v>
      </c>
      <c r="J63" s="1418" t="s">
        <v>1905</v>
      </c>
    </row>
    <row r="64" spans="2:10">
      <c r="B64" s="1364" t="s">
        <v>1954</v>
      </c>
      <c r="C64" s="1365"/>
      <c r="D64" s="1366"/>
      <c r="E64" s="1367">
        <f t="shared" si="0"/>
        <v>1181314.7111020728</v>
      </c>
      <c r="F64" s="1367">
        <v>0</v>
      </c>
      <c r="G64" s="1367">
        <v>0</v>
      </c>
      <c r="H64" s="1367">
        <v>1181314.7111020728</v>
      </c>
      <c r="I64" s="1367">
        <v>0</v>
      </c>
      <c r="J64" s="1418" t="s">
        <v>1909</v>
      </c>
    </row>
    <row r="65" spans="2:10" ht="37.5">
      <c r="B65" s="1364" t="s">
        <v>1895</v>
      </c>
      <c r="C65" s="1365"/>
      <c r="D65" s="1366"/>
      <c r="E65" s="1367">
        <f t="shared" si="0"/>
        <v>390381.00466999999</v>
      </c>
      <c r="F65" s="1367">
        <v>0</v>
      </c>
      <c r="G65" s="1367">
        <v>0</v>
      </c>
      <c r="H65" s="1367">
        <v>390381.00466999999</v>
      </c>
      <c r="I65" s="1367">
        <v>0</v>
      </c>
      <c r="J65" s="1418" t="s">
        <v>2155</v>
      </c>
    </row>
    <row r="66" spans="2:10">
      <c r="B66" s="1364" t="s">
        <v>2156</v>
      </c>
      <c r="C66" s="1365"/>
      <c r="D66" s="1366"/>
      <c r="E66" s="1367">
        <f t="shared" si="0"/>
        <v>35469.367466582808</v>
      </c>
      <c r="F66" s="1367">
        <v>35469.367466582808</v>
      </c>
      <c r="G66" s="1367">
        <v>0</v>
      </c>
      <c r="H66" s="1367">
        <v>0</v>
      </c>
      <c r="I66" s="1367">
        <v>0</v>
      </c>
      <c r="J66" s="1418" t="s">
        <v>1905</v>
      </c>
    </row>
    <row r="67" spans="2:10" ht="37.5">
      <c r="B67" s="1364" t="s">
        <v>2157</v>
      </c>
      <c r="C67" s="1365"/>
      <c r="D67" s="1366"/>
      <c r="E67" s="1367">
        <f t="shared" si="0"/>
        <v>141795069.37849808</v>
      </c>
      <c r="F67" s="1367">
        <v>141795069.37849808</v>
      </c>
      <c r="G67" s="1367">
        <v>0</v>
      </c>
      <c r="H67" s="1367">
        <v>0</v>
      </c>
      <c r="I67" s="1367">
        <v>0</v>
      </c>
      <c r="J67" s="1418" t="s">
        <v>1908</v>
      </c>
    </row>
    <row r="68" spans="2:10">
      <c r="B68" s="1364" t="s">
        <v>1783</v>
      </c>
      <c r="C68" s="1365"/>
      <c r="D68" s="1366"/>
      <c r="E68" s="1367">
        <f t="shared" si="0"/>
        <v>0</v>
      </c>
      <c r="F68" s="1367">
        <v>0</v>
      </c>
      <c r="G68" s="1367">
        <v>0</v>
      </c>
      <c r="H68" s="1367">
        <v>0</v>
      </c>
      <c r="I68" s="1367">
        <v>0</v>
      </c>
      <c r="J68" s="1418" t="s">
        <v>1905</v>
      </c>
    </row>
    <row r="69" spans="2:10" ht="13">
      <c r="B69" s="1192" t="s">
        <v>1084</v>
      </c>
      <c r="C69" s="1193"/>
      <c r="D69" s="1194"/>
      <c r="E69" s="1195">
        <f>SUM(E37:E68)</f>
        <v>257919344.63266462</v>
      </c>
      <c r="F69" s="1195">
        <f>SUM(F37:F68)</f>
        <v>238089561.71328422</v>
      </c>
      <c r="G69" s="1195">
        <f>SUM(G37:G68)</f>
        <v>0</v>
      </c>
      <c r="H69" s="1195">
        <f>SUM(H37:H68)</f>
        <v>2070711.7508410623</v>
      </c>
      <c r="I69" s="1195">
        <f>SUM(I37:I68)</f>
        <v>17759071.168539353</v>
      </c>
      <c r="J69" s="1196"/>
    </row>
    <row r="70" spans="2:10" ht="13">
      <c r="B70" s="1197"/>
      <c r="C70" s="1194"/>
      <c r="D70" s="1194"/>
      <c r="E70" s="1195"/>
      <c r="F70" s="1195"/>
      <c r="G70" s="1195"/>
      <c r="H70" s="1195"/>
      <c r="I70" s="1195"/>
      <c r="J70" s="1196"/>
    </row>
    <row r="71" spans="2:10">
      <c r="B71" s="1198" t="s">
        <v>1612</v>
      </c>
      <c r="C71" s="1199"/>
      <c r="D71" s="1199"/>
      <c r="E71" s="1200">
        <f>SUM(F71:I71)</f>
        <v>0</v>
      </c>
      <c r="F71" s="1190"/>
      <c r="G71" s="1190"/>
      <c r="H71" s="1190"/>
      <c r="I71" s="1190"/>
      <c r="J71" s="1201"/>
    </row>
    <row r="72" spans="2:10">
      <c r="B72" s="1198" t="s">
        <v>1613</v>
      </c>
      <c r="C72" s="1199"/>
      <c r="D72" s="1199"/>
      <c r="E72" s="1200">
        <f t="shared" ref="E72:E74" si="1">SUM(F72:I72)</f>
        <v>-390381.00466999999</v>
      </c>
      <c r="F72" s="1190">
        <v>0</v>
      </c>
      <c r="G72" s="1190">
        <v>0</v>
      </c>
      <c r="H72" s="1190">
        <v>-390381.00466999999</v>
      </c>
      <c r="I72" s="1190">
        <v>0</v>
      </c>
      <c r="J72" s="1201"/>
    </row>
    <row r="73" spans="2:10">
      <c r="B73" s="1198" t="s">
        <v>1614</v>
      </c>
      <c r="C73" s="1199"/>
      <c r="D73" s="1199"/>
      <c r="E73" s="1200">
        <f t="shared" si="1"/>
        <v>-141795069.37849808</v>
      </c>
      <c r="F73" s="1190">
        <v>-141795069.37849808</v>
      </c>
      <c r="G73" s="1190">
        <v>0</v>
      </c>
      <c r="H73" s="1190">
        <v>0</v>
      </c>
      <c r="I73" s="1190">
        <v>0</v>
      </c>
      <c r="J73" s="1201"/>
    </row>
    <row r="74" spans="2:10">
      <c r="B74" s="1198" t="s">
        <v>1162</v>
      </c>
      <c r="C74" s="1199"/>
      <c r="D74" s="1199"/>
      <c r="E74" s="1200">
        <f t="shared" si="1"/>
        <v>-1519467.6137814999</v>
      </c>
      <c r="F74" s="1190">
        <v>0</v>
      </c>
      <c r="G74" s="1190">
        <v>0</v>
      </c>
      <c r="H74" s="1190">
        <v>0</v>
      </c>
      <c r="I74" s="1190">
        <v>-1519467.6137814999</v>
      </c>
      <c r="J74" s="1201"/>
    </row>
    <row r="75" spans="2:10" ht="5.15" customHeight="1">
      <c r="B75" s="1192"/>
      <c r="C75" s="1193"/>
      <c r="D75" s="1194"/>
      <c r="E75" s="1195"/>
      <c r="F75" s="1195"/>
      <c r="G75" s="1195"/>
      <c r="H75" s="1195"/>
      <c r="I75" s="1195"/>
      <c r="J75" s="1196"/>
    </row>
    <row r="76" spans="2:10" ht="13">
      <c r="B76" s="1197" t="s">
        <v>1085</v>
      </c>
      <c r="C76" s="1194"/>
      <c r="D76" s="1194"/>
      <c r="E76" s="1195">
        <f>SUM(E71:E75)+E69</f>
        <v>114214426.63571504</v>
      </c>
      <c r="F76" s="1195">
        <f>SUM(F71:F75)+F69</f>
        <v>96294492.334786147</v>
      </c>
      <c r="G76" s="1195">
        <f>SUM(G71:G75)+G69</f>
        <v>0</v>
      </c>
      <c r="H76" s="1195">
        <f>SUM(H71:H75)+H69</f>
        <v>1680330.7461710623</v>
      </c>
      <c r="I76" s="1195">
        <f>SUM(I71:I75)+I69</f>
        <v>16239603.554757852</v>
      </c>
      <c r="J76" s="1196"/>
    </row>
    <row r="77" spans="2:10" ht="13">
      <c r="B77" s="1197"/>
      <c r="C77" s="1194"/>
      <c r="D77" s="1194"/>
      <c r="E77" s="1195"/>
      <c r="F77" s="1195"/>
      <c r="G77" s="1195"/>
      <c r="H77" s="1195"/>
      <c r="I77" s="1195"/>
      <c r="J77" s="1196"/>
    </row>
    <row r="78" spans="2:10" ht="13">
      <c r="B78" s="1202" t="s">
        <v>350</v>
      </c>
      <c r="C78" s="1203"/>
      <c r="D78" s="1204"/>
      <c r="E78" s="1205"/>
      <c r="F78" s="1205"/>
      <c r="G78" s="1205"/>
      <c r="H78" s="1205"/>
      <c r="I78" s="1206">
        <v>0.12211713926723032</v>
      </c>
      <c r="J78" s="1207"/>
    </row>
    <row r="79" spans="2:10" ht="13">
      <c r="B79" s="1202" t="s">
        <v>297</v>
      </c>
      <c r="C79" s="1203"/>
      <c r="D79" s="1204"/>
      <c r="E79" s="1205"/>
      <c r="F79" s="1205"/>
      <c r="G79" s="1205"/>
      <c r="H79" s="1206">
        <v>0.18019919310362698</v>
      </c>
      <c r="I79" s="1205"/>
      <c r="J79" s="1207"/>
    </row>
    <row r="80" spans="2:10" ht="13">
      <c r="B80" s="1202" t="s">
        <v>1086</v>
      </c>
      <c r="C80" s="1203"/>
      <c r="D80" s="1204"/>
      <c r="E80" s="1205"/>
      <c r="F80" s="1205"/>
      <c r="G80" s="1206">
        <v>1</v>
      </c>
      <c r="H80" s="1205"/>
      <c r="I80" s="1205"/>
      <c r="J80" s="1207"/>
    </row>
    <row r="81" spans="2:10" ht="13">
      <c r="B81" s="1202" t="s">
        <v>1087</v>
      </c>
      <c r="C81" s="1203"/>
      <c r="D81" s="1204"/>
      <c r="E81" s="1205"/>
      <c r="F81" s="1206">
        <v>0</v>
      </c>
      <c r="G81" s="1205"/>
      <c r="H81" s="1205"/>
      <c r="I81" s="1205"/>
      <c r="J81" s="1207"/>
    </row>
    <row r="82" spans="2:10" ht="13">
      <c r="B82" s="1208" t="s">
        <v>1088</v>
      </c>
      <c r="C82" s="1203"/>
      <c r="D82" s="1204"/>
      <c r="E82" s="1205">
        <f>F82+G82+H82+I82</f>
        <v>2285928.1735482141</v>
      </c>
      <c r="F82" s="1205">
        <f>F81*F76</f>
        <v>0</v>
      </c>
      <c r="G82" s="1205">
        <f>G76*G80</f>
        <v>0</v>
      </c>
      <c r="H82" s="1205">
        <f>H76*H79</f>
        <v>302794.24460724089</v>
      </c>
      <c r="I82" s="1205">
        <f>I78*I76</f>
        <v>1983133.9289409732</v>
      </c>
      <c r="J82" s="1207"/>
    </row>
    <row r="83" spans="2:10" ht="13">
      <c r="B83" s="1209"/>
      <c r="E83" s="1178"/>
      <c r="F83" s="1178"/>
      <c r="G83" s="1178"/>
      <c r="H83" s="1178"/>
      <c r="I83" s="1178"/>
      <c r="J83" s="1210"/>
    </row>
    <row r="84" spans="2:10" ht="13">
      <c r="B84" s="1180"/>
      <c r="E84" s="1178"/>
      <c r="F84" s="1178"/>
      <c r="G84" s="1178"/>
      <c r="H84" s="1178"/>
      <c r="I84" s="1178"/>
      <c r="J84" s="1210"/>
    </row>
    <row r="85" spans="2:10" ht="13">
      <c r="B85" s="1171" t="s">
        <v>216</v>
      </c>
      <c r="C85" s="1171"/>
      <c r="D85" s="1171"/>
      <c r="E85" s="1171" t="s">
        <v>217</v>
      </c>
      <c r="F85" s="1171" t="s">
        <v>1318</v>
      </c>
      <c r="G85" s="1171" t="s">
        <v>1566</v>
      </c>
      <c r="H85" s="1171" t="s">
        <v>1567</v>
      </c>
      <c r="I85" s="1171" t="s">
        <v>1568</v>
      </c>
      <c r="J85" s="1171" t="s">
        <v>1569</v>
      </c>
    </row>
    <row r="86" spans="2:10" ht="13">
      <c r="B86" s="1180"/>
      <c r="C86" s="314"/>
      <c r="D86" s="314"/>
      <c r="E86" s="1171"/>
      <c r="F86" s="1171" t="s">
        <v>1605</v>
      </c>
      <c r="G86" s="1171" t="s">
        <v>344</v>
      </c>
      <c r="H86" s="1171"/>
      <c r="I86" s="1171"/>
      <c r="J86" s="314"/>
    </row>
    <row r="87" spans="2:10" ht="13">
      <c r="B87" s="1188"/>
      <c r="C87" s="314"/>
      <c r="D87" s="314"/>
      <c r="E87" s="1171"/>
      <c r="F87" s="1171" t="s">
        <v>1606</v>
      </c>
      <c r="G87" s="1171" t="s">
        <v>274</v>
      </c>
      <c r="H87" s="1171" t="s">
        <v>345</v>
      </c>
      <c r="I87" s="1171" t="s">
        <v>346</v>
      </c>
      <c r="J87" s="314"/>
    </row>
    <row r="88" spans="2:10" ht="13">
      <c r="B88" s="1180" t="s">
        <v>1089</v>
      </c>
      <c r="C88" s="314"/>
      <c r="D88" s="314"/>
      <c r="E88" s="1171" t="s">
        <v>59</v>
      </c>
      <c r="F88" s="1174" t="s">
        <v>1607</v>
      </c>
      <c r="G88" s="1171" t="s">
        <v>347</v>
      </c>
      <c r="H88" s="1171" t="s">
        <v>347</v>
      </c>
      <c r="I88" s="1171" t="s">
        <v>347</v>
      </c>
      <c r="J88" s="1171" t="s">
        <v>351</v>
      </c>
    </row>
    <row r="89" spans="2:10">
      <c r="B89" s="1189"/>
      <c r="C89" s="1211"/>
      <c r="D89" s="1212"/>
      <c r="E89" s="1190"/>
      <c r="F89" s="1190"/>
      <c r="G89" s="1190"/>
      <c r="H89" s="1190"/>
      <c r="I89" s="1190"/>
      <c r="J89" s="1191"/>
    </row>
    <row r="90" spans="2:10">
      <c r="B90" s="1189"/>
      <c r="C90" s="1211"/>
      <c r="D90" s="1213"/>
      <c r="E90" s="1190"/>
      <c r="F90" s="1190"/>
      <c r="G90" s="1190"/>
      <c r="H90" s="1190"/>
      <c r="I90" s="1190"/>
      <c r="J90" s="1191"/>
    </row>
    <row r="91" spans="2:10">
      <c r="B91" s="1189"/>
      <c r="C91" s="1211"/>
      <c r="D91" s="1213"/>
      <c r="E91" s="1190"/>
      <c r="F91" s="1190"/>
      <c r="G91" s="1190"/>
      <c r="H91" s="1190"/>
      <c r="I91" s="1190"/>
      <c r="J91" s="1191"/>
    </row>
    <row r="92" spans="2:10">
      <c r="B92" s="1189"/>
      <c r="C92" s="1211"/>
      <c r="D92" s="1213"/>
      <c r="E92" s="1190"/>
      <c r="F92" s="1190"/>
      <c r="G92" s="1190"/>
      <c r="H92" s="1190"/>
      <c r="I92" s="1190"/>
      <c r="J92" s="1191"/>
    </row>
    <row r="93" spans="2:10">
      <c r="B93" s="1189"/>
      <c r="C93" s="1211"/>
      <c r="D93" s="1213"/>
      <c r="E93" s="1190"/>
      <c r="F93" s="1190"/>
      <c r="G93" s="1190"/>
      <c r="H93" s="1190"/>
      <c r="I93" s="1190"/>
      <c r="J93" s="1191"/>
    </row>
    <row r="94" spans="2:10">
      <c r="B94" s="1189"/>
      <c r="C94" s="1211"/>
      <c r="D94" s="1213"/>
      <c r="E94" s="1190"/>
      <c r="F94" s="1190"/>
      <c r="G94" s="1190"/>
      <c r="H94" s="1190"/>
      <c r="I94" s="1190"/>
      <c r="J94" s="1191"/>
    </row>
    <row r="95" spans="2:10">
      <c r="B95" s="1189"/>
      <c r="C95" s="1211"/>
      <c r="D95" s="1212"/>
      <c r="E95" s="1214"/>
      <c r="F95" s="1214"/>
      <c r="G95" s="1214"/>
      <c r="H95" s="1214"/>
      <c r="I95" s="1214"/>
      <c r="J95" s="1215"/>
    </row>
    <row r="96" spans="2:10" ht="13">
      <c r="B96" s="1197" t="s">
        <v>1090</v>
      </c>
      <c r="C96" s="1194"/>
      <c r="D96" s="1194"/>
      <c r="E96" s="1195">
        <f>SUM(E89:E95)</f>
        <v>0</v>
      </c>
      <c r="F96" s="1195">
        <f>SUM(F89:F95)</f>
        <v>0</v>
      </c>
      <c r="G96" s="1195">
        <f>SUM(G89:G95)</f>
        <v>0</v>
      </c>
      <c r="H96" s="1195">
        <f>SUM(H89:H95)</f>
        <v>0</v>
      </c>
      <c r="I96" s="1195">
        <f>SUM(I89:I95)</f>
        <v>0</v>
      </c>
      <c r="J96" s="1196"/>
    </row>
    <row r="97" spans="2:10" ht="13">
      <c r="B97" s="1197"/>
      <c r="C97" s="1194"/>
      <c r="D97" s="1194"/>
      <c r="E97" s="1195"/>
      <c r="F97" s="1195"/>
      <c r="G97" s="1195"/>
      <c r="H97" s="1195"/>
      <c r="I97" s="1195"/>
      <c r="J97" s="1196"/>
    </row>
    <row r="98" spans="2:10">
      <c r="B98" s="1216" t="s">
        <v>1612</v>
      </c>
      <c r="C98" s="1217"/>
      <c r="D98" s="1218"/>
      <c r="E98" s="1200"/>
      <c r="F98" s="1190"/>
      <c r="G98" s="1190"/>
      <c r="H98" s="1190"/>
      <c r="I98" s="1190"/>
      <c r="J98" s="1201"/>
    </row>
    <row r="99" spans="2:10">
      <c r="B99" s="1198" t="s">
        <v>1613</v>
      </c>
      <c r="C99" s="1199"/>
      <c r="D99" s="1218"/>
      <c r="E99" s="1200"/>
      <c r="F99" s="1190"/>
      <c r="G99" s="1190"/>
      <c r="H99" s="1190"/>
      <c r="I99" s="1190"/>
      <c r="J99" s="1201"/>
    </row>
    <row r="100" spans="2:10">
      <c r="B100" s="1198" t="s">
        <v>1614</v>
      </c>
      <c r="C100" s="1199"/>
      <c r="D100" s="1218"/>
      <c r="E100" s="1200"/>
      <c r="F100" s="1190"/>
      <c r="G100" s="1190"/>
      <c r="H100" s="1190"/>
      <c r="I100" s="1190"/>
      <c r="J100" s="1201"/>
    </row>
    <row r="101" spans="2:10">
      <c r="B101" s="1198" t="s">
        <v>1162</v>
      </c>
      <c r="C101" s="1199"/>
      <c r="D101" s="1218"/>
      <c r="E101" s="1200"/>
      <c r="F101" s="1190"/>
      <c r="G101" s="1190"/>
      <c r="H101" s="1190"/>
      <c r="I101" s="1190"/>
      <c r="J101" s="1201"/>
    </row>
    <row r="102" spans="2:10" ht="5.15" customHeight="1">
      <c r="B102" s="1192"/>
      <c r="C102" s="1193"/>
      <c r="D102" s="1194"/>
      <c r="E102" s="1195"/>
      <c r="F102" s="1195"/>
      <c r="G102" s="1195"/>
      <c r="H102" s="1195"/>
      <c r="I102" s="1195"/>
      <c r="J102" s="1196"/>
    </row>
    <row r="103" spans="2:10" ht="13">
      <c r="B103" s="1219" t="s">
        <v>1091</v>
      </c>
      <c r="C103" s="1220"/>
      <c r="D103" s="1194"/>
      <c r="E103" s="1195">
        <f>SUM(E98:E102)+E96</f>
        <v>0</v>
      </c>
      <c r="F103" s="1195">
        <f>SUM(F98:F102)+F96</f>
        <v>0</v>
      </c>
      <c r="G103" s="1195">
        <f>SUM(G98:G102)+G96</f>
        <v>0</v>
      </c>
      <c r="H103" s="1195">
        <f>SUM(H98:H102)+H96</f>
        <v>0</v>
      </c>
      <c r="I103" s="1195">
        <f>SUM(I98:I102)+I96</f>
        <v>0</v>
      </c>
      <c r="J103" s="1196"/>
    </row>
    <row r="104" spans="2:10" ht="13">
      <c r="B104" s="1221"/>
      <c r="C104" s="1222"/>
      <c r="D104" s="1222"/>
      <c r="E104" s="1205"/>
      <c r="F104" s="1195"/>
      <c r="G104" s="1195"/>
      <c r="H104" s="1195"/>
      <c r="I104" s="1195"/>
      <c r="J104" s="1207"/>
    </row>
    <row r="105" spans="2:10" ht="13">
      <c r="B105" s="1223" t="s">
        <v>350</v>
      </c>
      <c r="C105" s="1224"/>
      <c r="D105" s="1204"/>
      <c r="E105" s="1205"/>
      <c r="F105" s="1205"/>
      <c r="G105" s="1205"/>
      <c r="H105" s="1205"/>
      <c r="I105" s="1206">
        <f>$I$78</f>
        <v>0.12211713926723032</v>
      </c>
      <c r="J105" s="1207"/>
    </row>
    <row r="106" spans="2:10" ht="13">
      <c r="B106" s="1202" t="s">
        <v>297</v>
      </c>
      <c r="C106" s="1203"/>
      <c r="D106" s="1204"/>
      <c r="E106" s="1205"/>
      <c r="F106" s="1205"/>
      <c r="G106" s="1205"/>
      <c r="H106" s="1206">
        <f>$H$79</f>
        <v>0.18019919310362698</v>
      </c>
      <c r="I106" s="1205"/>
      <c r="J106" s="1207"/>
    </row>
    <row r="107" spans="2:10" ht="13">
      <c r="B107" s="1202" t="s">
        <v>1086</v>
      </c>
      <c r="C107" s="1203"/>
      <c r="D107" s="1204"/>
      <c r="E107" s="1205"/>
      <c r="F107" s="1205"/>
      <c r="G107" s="1206">
        <f>$G$80</f>
        <v>1</v>
      </c>
      <c r="H107" s="1205"/>
      <c r="I107" s="1205"/>
      <c r="J107" s="1207"/>
    </row>
    <row r="108" spans="2:10" ht="13">
      <c r="B108" s="1202" t="s">
        <v>1087</v>
      </c>
      <c r="C108" s="1203"/>
      <c r="D108" s="1204"/>
      <c r="E108" s="1205"/>
      <c r="F108" s="1206">
        <f>$F$81</f>
        <v>0</v>
      </c>
      <c r="G108" s="1205"/>
      <c r="H108" s="1205"/>
      <c r="I108" s="1205"/>
      <c r="J108" s="1207"/>
    </row>
    <row r="109" spans="2:10" ht="13">
      <c r="B109" s="1208" t="s">
        <v>1088</v>
      </c>
      <c r="C109" s="1203"/>
      <c r="D109" s="1204"/>
      <c r="E109" s="1205">
        <f>F109+G109+H109+I109</f>
        <v>0</v>
      </c>
      <c r="F109" s="1205">
        <f>F108*F103</f>
        <v>0</v>
      </c>
      <c r="G109" s="1205">
        <f>G103*G107</f>
        <v>0</v>
      </c>
      <c r="H109" s="1205">
        <f>H103*H106</f>
        <v>0</v>
      </c>
      <c r="I109" s="1205">
        <f>I105*I103</f>
        <v>0</v>
      </c>
      <c r="J109" s="1207"/>
    </row>
    <row r="110" spans="2:10" ht="13">
      <c r="B110" s="1209"/>
      <c r="E110" s="1178"/>
      <c r="F110" s="1178"/>
      <c r="G110" s="1178"/>
      <c r="H110" s="1178"/>
      <c r="I110" s="1178"/>
      <c r="J110" s="1210"/>
    </row>
    <row r="111" spans="2:10" ht="13">
      <c r="B111" s="1209"/>
      <c r="E111" s="1178"/>
      <c r="F111" s="1178"/>
      <c r="G111" s="1178"/>
      <c r="H111" s="1178"/>
      <c r="I111" s="1178"/>
      <c r="J111" s="1210"/>
    </row>
    <row r="112" spans="2:10" ht="13">
      <c r="B112" s="1171" t="s">
        <v>216</v>
      </c>
      <c r="C112" s="1171"/>
      <c r="D112" s="1171"/>
      <c r="E112" s="1171" t="s">
        <v>217</v>
      </c>
      <c r="F112" s="1171" t="s">
        <v>1318</v>
      </c>
      <c r="G112" s="1171" t="s">
        <v>1566</v>
      </c>
      <c r="H112" s="1171" t="s">
        <v>1567</v>
      </c>
      <c r="I112" s="1171" t="s">
        <v>1568</v>
      </c>
      <c r="J112" s="1171" t="s">
        <v>1569</v>
      </c>
    </row>
    <row r="113" spans="2:11" ht="13">
      <c r="B113" s="1180"/>
      <c r="C113" s="314"/>
      <c r="D113" s="314"/>
      <c r="E113" s="1171"/>
      <c r="F113" s="1171" t="s">
        <v>1605</v>
      </c>
      <c r="G113" s="1171" t="s">
        <v>344</v>
      </c>
      <c r="H113" s="1171"/>
      <c r="I113" s="1171"/>
      <c r="J113" s="314"/>
    </row>
    <row r="114" spans="2:11" ht="13">
      <c r="B114" s="1225"/>
      <c r="C114" s="314"/>
      <c r="D114" s="314"/>
      <c r="E114" s="1171"/>
      <c r="F114" s="1171" t="s">
        <v>1606</v>
      </c>
      <c r="G114" s="1171" t="s">
        <v>274</v>
      </c>
      <c r="H114" s="1171" t="s">
        <v>345</v>
      </c>
      <c r="I114" s="1171" t="s">
        <v>346</v>
      </c>
      <c r="J114" s="314"/>
    </row>
    <row r="115" spans="2:11" ht="13">
      <c r="B115" s="1180" t="s">
        <v>1615</v>
      </c>
      <c r="E115" s="1171" t="s">
        <v>59</v>
      </c>
      <c r="F115" s="1174" t="s">
        <v>1607</v>
      </c>
      <c r="G115" s="1171" t="s">
        <v>347</v>
      </c>
      <c r="H115" s="1171" t="s">
        <v>347</v>
      </c>
      <c r="I115" s="1171" t="s">
        <v>347</v>
      </c>
      <c r="J115" s="1171" t="s">
        <v>351</v>
      </c>
    </row>
    <row r="116" spans="2:11">
      <c r="B116" s="1204" t="s">
        <v>1083</v>
      </c>
      <c r="C116" s="1204"/>
      <c r="D116" s="1204"/>
      <c r="E116" s="1195">
        <f>SUM(F116:I116)</f>
        <v>257919344.63266462</v>
      </c>
      <c r="F116" s="1205">
        <f>F69</f>
        <v>238089561.71328422</v>
      </c>
      <c r="G116" s="1205">
        <f>G69</f>
        <v>0</v>
      </c>
      <c r="H116" s="1205">
        <f>H69</f>
        <v>2070711.7508410623</v>
      </c>
      <c r="I116" s="1205">
        <f>I69</f>
        <v>17759071.168539353</v>
      </c>
      <c r="J116" s="1207"/>
    </row>
    <row r="117" spans="2:11">
      <c r="B117" s="1204" t="s">
        <v>1089</v>
      </c>
      <c r="C117" s="1204"/>
      <c r="D117" s="1204"/>
      <c r="E117" s="1195">
        <f>SUM(F117:I117)</f>
        <v>0</v>
      </c>
      <c r="F117" s="1205">
        <f>F96</f>
        <v>0</v>
      </c>
      <c r="G117" s="1205">
        <f>G96</f>
        <v>0</v>
      </c>
      <c r="H117" s="1205">
        <f>H96</f>
        <v>0</v>
      </c>
      <c r="I117" s="1205">
        <f>I96</f>
        <v>0</v>
      </c>
      <c r="J117" s="1207"/>
    </row>
    <row r="118" spans="2:11" ht="13">
      <c r="B118" s="1226" t="s">
        <v>1092</v>
      </c>
      <c r="C118" s="1204"/>
      <c r="D118" s="1204"/>
      <c r="E118" s="1205">
        <f>E116+E117</f>
        <v>257919344.63266462</v>
      </c>
      <c r="F118" s="1205">
        <f>F116+F117</f>
        <v>238089561.71328422</v>
      </c>
      <c r="G118" s="1205">
        <f>G116+G117</f>
        <v>0</v>
      </c>
      <c r="H118" s="1205">
        <f>H116+H117</f>
        <v>2070711.7508410623</v>
      </c>
      <c r="I118" s="1205">
        <f>I116+I117</f>
        <v>17759071.168539353</v>
      </c>
      <c r="J118" s="1207"/>
    </row>
    <row r="119" spans="2:11" ht="13">
      <c r="B119" s="1209"/>
      <c r="E119" s="1178"/>
      <c r="F119" s="1178"/>
      <c r="G119" s="1178"/>
      <c r="H119" s="1178"/>
      <c r="I119" s="1178"/>
      <c r="J119" s="1210"/>
    </row>
    <row r="120" spans="2:11" ht="13">
      <c r="B120" s="1209"/>
      <c r="E120" s="1178"/>
      <c r="F120" s="1178"/>
      <c r="G120" s="1178"/>
      <c r="H120" s="1178"/>
      <c r="I120" s="1178"/>
      <c r="J120" s="1210"/>
    </row>
    <row r="121" spans="2:11" s="314" customFormat="1" ht="12.75" customHeight="1">
      <c r="B121" s="1227" t="s">
        <v>363</v>
      </c>
      <c r="C121" s="1227"/>
      <c r="E121" s="1228"/>
      <c r="G121" s="1228"/>
      <c r="H121" s="1229"/>
      <c r="I121" s="1230"/>
      <c r="J121" s="1231"/>
    </row>
    <row r="122" spans="2:11" s="314" customFormat="1" ht="15.75" customHeight="1">
      <c r="B122" s="1845" t="s">
        <v>1616</v>
      </c>
      <c r="C122" s="1845"/>
      <c r="D122" s="1845"/>
      <c r="E122" s="1845"/>
      <c r="F122" s="1845"/>
      <c r="G122" s="1845"/>
      <c r="H122" s="1845"/>
      <c r="I122" s="1845"/>
      <c r="J122" s="1232"/>
    </row>
    <row r="123" spans="2:11" s="314" customFormat="1" ht="13">
      <c r="B123" s="1233" t="s">
        <v>364</v>
      </c>
      <c r="C123" s="1233"/>
      <c r="H123" s="1230"/>
      <c r="I123" s="1230"/>
      <c r="J123" s="1231"/>
    </row>
    <row r="124" spans="2:11" s="314" customFormat="1" ht="13">
      <c r="B124" s="1233" t="s">
        <v>365</v>
      </c>
      <c r="C124" s="1233"/>
      <c r="H124" s="1230"/>
      <c r="I124" s="1230"/>
      <c r="J124" s="1232"/>
    </row>
    <row r="125" spans="2:11" s="314" customFormat="1" ht="13">
      <c r="B125" s="1233" t="s">
        <v>366</v>
      </c>
      <c r="C125" s="1233"/>
      <c r="H125" s="1230"/>
      <c r="I125" s="1230"/>
      <c r="J125" s="1231"/>
    </row>
    <row r="126" spans="2:11" s="314" customFormat="1" ht="15.75" customHeight="1">
      <c r="B126" s="1845" t="s">
        <v>1093</v>
      </c>
      <c r="C126" s="1845"/>
      <c r="D126" s="1845"/>
      <c r="E126" s="1845"/>
      <c r="F126" s="1845"/>
      <c r="G126" s="1845"/>
      <c r="H126" s="1845"/>
      <c r="I126" s="1845"/>
      <c r="K126" s="1234"/>
    </row>
    <row r="127" spans="2:11" s="314" customFormat="1" ht="15.75" customHeight="1">
      <c r="B127" s="1845"/>
      <c r="C127" s="1845"/>
      <c r="D127" s="1845"/>
      <c r="E127" s="1845"/>
      <c r="F127" s="1845"/>
      <c r="G127" s="1845"/>
      <c r="H127" s="1845"/>
      <c r="I127" s="1845"/>
      <c r="K127" s="1234"/>
    </row>
    <row r="128" spans="2:11" s="314" customFormat="1" ht="13">
      <c r="B128" s="1233" t="s">
        <v>1094</v>
      </c>
      <c r="C128" s="1233"/>
      <c r="H128" s="1230"/>
      <c r="I128" s="1230"/>
      <c r="J128" s="1231"/>
    </row>
    <row r="129" spans="2:10" ht="13">
      <c r="C129" s="1209"/>
      <c r="E129" s="1181"/>
      <c r="F129" s="1181"/>
      <c r="G129" s="1186"/>
      <c r="H129" s="1235"/>
      <c r="I129" s="1236"/>
      <c r="J129" s="1210"/>
    </row>
    <row r="130" spans="2:10" ht="13">
      <c r="B130" s="1209"/>
      <c r="C130" s="1237"/>
      <c r="E130" s="1411"/>
      <c r="F130" s="1186"/>
    </row>
    <row r="131" spans="2:10" ht="13">
      <c r="B131" s="1171" t="s">
        <v>216</v>
      </c>
      <c r="C131" s="1171"/>
      <c r="D131" s="1171"/>
      <c r="E131" s="1171" t="s">
        <v>217</v>
      </c>
      <c r="F131" s="1171" t="s">
        <v>1318</v>
      </c>
      <c r="G131" s="1171" t="s">
        <v>1566</v>
      </c>
      <c r="H131" s="1171" t="s">
        <v>1567</v>
      </c>
      <c r="I131" s="1171" t="s">
        <v>1568</v>
      </c>
      <c r="J131" s="1171" t="s">
        <v>1569</v>
      </c>
    </row>
    <row r="132" spans="2:10" ht="13">
      <c r="B132" s="1180"/>
      <c r="C132" s="314"/>
      <c r="D132" s="314"/>
      <c r="E132" s="1171"/>
      <c r="F132" s="1171" t="s">
        <v>1605</v>
      </c>
      <c r="G132" s="1171" t="s">
        <v>344</v>
      </c>
      <c r="H132" s="1171"/>
      <c r="I132" s="1171"/>
      <c r="J132" s="314"/>
    </row>
    <row r="133" spans="2:10" ht="13">
      <c r="B133" s="1180"/>
      <c r="C133" s="1188"/>
      <c r="D133" s="314"/>
      <c r="E133" s="1171"/>
      <c r="F133" s="1171" t="s">
        <v>1606</v>
      </c>
      <c r="G133" s="1171" t="s">
        <v>274</v>
      </c>
      <c r="H133" s="1171" t="s">
        <v>345</v>
      </c>
      <c r="I133" s="1171" t="s">
        <v>346</v>
      </c>
      <c r="J133" s="314"/>
    </row>
    <row r="134" spans="2:10" ht="13">
      <c r="B134" s="1180" t="s">
        <v>1095</v>
      </c>
      <c r="C134" s="314"/>
      <c r="D134" s="314"/>
      <c r="E134" s="1171" t="s">
        <v>59</v>
      </c>
      <c r="F134" s="1174" t="s">
        <v>1607</v>
      </c>
      <c r="G134" s="1171" t="s">
        <v>347</v>
      </c>
      <c r="H134" s="1171" t="s">
        <v>347</v>
      </c>
      <c r="I134" s="1171" t="s">
        <v>347</v>
      </c>
      <c r="J134" s="1171" t="s">
        <v>351</v>
      </c>
    </row>
    <row r="135" spans="2:10">
      <c r="B135" s="1368" t="s">
        <v>2159</v>
      </c>
      <c r="C135" s="1369"/>
      <c r="D135" s="1370"/>
      <c r="E135" s="1367">
        <f>SUM(F135:I135)</f>
        <v>-855809061.40534151</v>
      </c>
      <c r="F135" s="1367">
        <v>4886498.8008881994</v>
      </c>
      <c r="G135" s="1367">
        <v>0</v>
      </c>
      <c r="H135" s="1367">
        <v>-860695560.20622969</v>
      </c>
      <c r="I135" s="1367">
        <v>0</v>
      </c>
      <c r="J135" s="1239" t="s">
        <v>1909</v>
      </c>
    </row>
    <row r="136" spans="2:10">
      <c r="B136" s="1368" t="s">
        <v>2160</v>
      </c>
      <c r="C136" s="1371"/>
      <c r="D136" s="1372"/>
      <c r="E136" s="1367">
        <f t="shared" ref="E136:E139" si="2">SUM(F136:I136)</f>
        <v>58420042.359692201</v>
      </c>
      <c r="F136" s="1367">
        <v>58420042.359692201</v>
      </c>
      <c r="G136" s="1367">
        <v>0</v>
      </c>
      <c r="H136" s="1367">
        <v>0</v>
      </c>
      <c r="I136" s="1367">
        <v>0</v>
      </c>
      <c r="J136" s="1239" t="s">
        <v>1910</v>
      </c>
    </row>
    <row r="137" spans="2:10" ht="37.5">
      <c r="B137" s="1368" t="s">
        <v>1896</v>
      </c>
      <c r="C137" s="1369"/>
      <c r="D137" s="1372"/>
      <c r="E137" s="1367">
        <f t="shared" si="2"/>
        <v>-56177652.650669292</v>
      </c>
      <c r="F137" s="1367">
        <v>-45859652.072486438</v>
      </c>
      <c r="G137" s="1367">
        <v>-10318000.578182856</v>
      </c>
      <c r="H137" s="1367">
        <v>0</v>
      </c>
      <c r="I137" s="1367">
        <v>0</v>
      </c>
      <c r="J137" s="1416" t="s">
        <v>1911</v>
      </c>
    </row>
    <row r="138" spans="2:10">
      <c r="B138" s="1368" t="s">
        <v>1897</v>
      </c>
      <c r="C138" s="1369"/>
      <c r="D138" s="1372"/>
      <c r="E138" s="1367">
        <f t="shared" si="2"/>
        <v>82109756.052337497</v>
      </c>
      <c r="F138" s="1367">
        <v>43976679.394677714</v>
      </c>
      <c r="G138" s="1367">
        <v>0</v>
      </c>
      <c r="H138" s="1367">
        <v>38133076.657659784</v>
      </c>
      <c r="I138" s="1367">
        <v>0</v>
      </c>
      <c r="J138" s="1239" t="s">
        <v>2158</v>
      </c>
    </row>
    <row r="139" spans="2:10" ht="25">
      <c r="B139" s="1368" t="s">
        <v>1898</v>
      </c>
      <c r="C139" s="1369"/>
      <c r="D139" s="1372"/>
      <c r="E139" s="1367">
        <f t="shared" si="2"/>
        <v>-62423081.577461995</v>
      </c>
      <c r="F139" s="1367">
        <v>-62423081.577461995</v>
      </c>
      <c r="G139" s="1367">
        <v>0</v>
      </c>
      <c r="H139" s="1367">
        <v>0</v>
      </c>
      <c r="I139" s="1367">
        <v>0</v>
      </c>
      <c r="J139" s="1239" t="s">
        <v>1912</v>
      </c>
    </row>
    <row r="140" spans="2:10" ht="13">
      <c r="B140" s="1197" t="s">
        <v>1096</v>
      </c>
      <c r="C140" s="1194"/>
      <c r="D140" s="1194"/>
      <c r="E140" s="1195">
        <f>SUM(E135:E139)</f>
        <v>-833879997.22144306</v>
      </c>
      <c r="F140" s="1195">
        <f>SUM(F135:F139)</f>
        <v>-999513.09469032288</v>
      </c>
      <c r="G140" s="1195">
        <f>SUM(G135:G139)</f>
        <v>-10318000.578182856</v>
      </c>
      <c r="H140" s="1195">
        <f>SUM(H135:H139)</f>
        <v>-822562483.54856992</v>
      </c>
      <c r="I140" s="1195">
        <f>SUM(I135:I139)</f>
        <v>0</v>
      </c>
      <c r="J140" s="1196"/>
    </row>
    <row r="141" spans="2:10" ht="13">
      <c r="B141" s="1197"/>
      <c r="C141" s="1194"/>
      <c r="D141" s="1194"/>
      <c r="E141" s="1195"/>
      <c r="F141" s="1195"/>
      <c r="G141" s="1195"/>
      <c r="H141" s="1195"/>
      <c r="I141" s="1195"/>
      <c r="J141" s="1196"/>
    </row>
    <row r="142" spans="2:10">
      <c r="B142" s="1412" t="s">
        <v>1612</v>
      </c>
      <c r="C142" s="1217"/>
      <c r="D142" s="1218"/>
      <c r="E142" s="1190">
        <f t="shared" ref="E142:E145" si="3">SUM(F142:I142)</f>
        <v>18446402.182784282</v>
      </c>
      <c r="F142" s="1190">
        <f>-F138-F139</f>
        <v>18446402.182784282</v>
      </c>
      <c r="G142" s="1190">
        <f t="shared" ref="G142" si="4">-G138-G139</f>
        <v>0</v>
      </c>
      <c r="H142" s="1190">
        <v>0</v>
      </c>
      <c r="I142" s="1190">
        <f>-I138</f>
        <v>0</v>
      </c>
      <c r="J142" s="1201"/>
    </row>
    <row r="143" spans="2:10">
      <c r="B143" s="1412" t="s">
        <v>1913</v>
      </c>
      <c r="C143" s="1199"/>
      <c r="D143" s="1218"/>
      <c r="E143" s="1190">
        <f t="shared" si="3"/>
        <v>56177652.650669292</v>
      </c>
      <c r="F143" s="1190">
        <f>-F137</f>
        <v>45859652.072486438</v>
      </c>
      <c r="G143" s="1190">
        <f t="shared" ref="G143:H143" si="5">-G137</f>
        <v>10318000.578182856</v>
      </c>
      <c r="H143" s="1190">
        <f t="shared" si="5"/>
        <v>0</v>
      </c>
      <c r="I143" s="1190">
        <f t="shared" ref="I143" si="6">-I139</f>
        <v>0</v>
      </c>
      <c r="J143" s="1201"/>
    </row>
    <row r="144" spans="2:10">
      <c r="B144" s="1412" t="s">
        <v>1614</v>
      </c>
      <c r="C144" s="1199"/>
      <c r="D144" s="1218"/>
      <c r="E144" s="1190">
        <f t="shared" si="3"/>
        <v>0</v>
      </c>
      <c r="F144" s="1190">
        <v>0</v>
      </c>
      <c r="G144" s="1190">
        <v>0</v>
      </c>
      <c r="H144" s="1190">
        <v>0</v>
      </c>
      <c r="I144" s="1190">
        <v>0</v>
      </c>
      <c r="J144" s="1201"/>
    </row>
    <row r="145" spans="2:10">
      <c r="B145" s="1198" t="s">
        <v>1162</v>
      </c>
      <c r="C145" s="1199"/>
      <c r="D145" s="1218"/>
      <c r="E145" s="1190">
        <f t="shared" si="3"/>
        <v>0</v>
      </c>
      <c r="F145" s="1190"/>
      <c r="G145" s="1190"/>
      <c r="H145" s="1190"/>
      <c r="I145" s="1190"/>
      <c r="J145" s="1201"/>
    </row>
    <row r="146" spans="2:10" ht="5.15" customHeight="1">
      <c r="B146" s="1192"/>
      <c r="C146" s="1193"/>
      <c r="D146" s="1194"/>
      <c r="E146" s="1195"/>
      <c r="F146" s="1195"/>
      <c r="G146" s="1195"/>
      <c r="H146" s="1195"/>
      <c r="I146" s="1195"/>
      <c r="J146" s="1196"/>
    </row>
    <row r="147" spans="2:10" ht="13">
      <c r="B147" s="1219" t="s">
        <v>1097</v>
      </c>
      <c r="C147" s="1220"/>
      <c r="D147" s="1194"/>
      <c r="E147" s="1195">
        <f>SUM(E142:E145)+E140</f>
        <v>-759255942.38798952</v>
      </c>
      <c r="F147" s="1195">
        <f>SUM(F142:F145)+F140</f>
        <v>63306541.160580397</v>
      </c>
      <c r="G147" s="1195">
        <f>SUM(G142:G145)+G140</f>
        <v>0</v>
      </c>
      <c r="H147" s="1195">
        <f>SUM(H142:H145)+H140</f>
        <v>-822562483.54856992</v>
      </c>
      <c r="I147" s="1195">
        <f>SUM(I142:I145)+I140</f>
        <v>0</v>
      </c>
      <c r="J147" s="1196"/>
    </row>
    <row r="148" spans="2:10" ht="13">
      <c r="B148" s="1221"/>
      <c r="C148" s="1222"/>
      <c r="D148" s="1222"/>
      <c r="E148" s="1205"/>
      <c r="F148" s="1195"/>
      <c r="G148" s="1195"/>
      <c r="H148" s="1195"/>
      <c r="I148" s="1195"/>
      <c r="J148" s="1207"/>
    </row>
    <row r="149" spans="2:10" ht="13">
      <c r="B149" s="1223" t="s">
        <v>350</v>
      </c>
      <c r="C149" s="1224"/>
      <c r="D149" s="1204"/>
      <c r="E149" s="1205"/>
      <c r="F149" s="1205"/>
      <c r="G149" s="1205"/>
      <c r="H149" s="1205"/>
      <c r="I149" s="1206">
        <f>$I$78</f>
        <v>0.12211713926723032</v>
      </c>
      <c r="J149" s="1207"/>
    </row>
    <row r="150" spans="2:10" ht="13">
      <c r="B150" s="1202" t="s">
        <v>297</v>
      </c>
      <c r="C150" s="1203"/>
      <c r="D150" s="1204"/>
      <c r="E150" s="1205"/>
      <c r="F150" s="1205"/>
      <c r="G150" s="1205"/>
      <c r="H150" s="1206">
        <f>$H$79</f>
        <v>0.18019919310362698</v>
      </c>
      <c r="I150" s="1205"/>
      <c r="J150" s="1207"/>
    </row>
    <row r="151" spans="2:10" ht="13">
      <c r="B151" s="1202" t="s">
        <v>1086</v>
      </c>
      <c r="C151" s="1203"/>
      <c r="D151" s="1204"/>
      <c r="E151" s="1205"/>
      <c r="F151" s="1205"/>
      <c r="G151" s="1206">
        <f>$G$80</f>
        <v>1</v>
      </c>
      <c r="H151" s="1205"/>
      <c r="I151" s="1205"/>
      <c r="J151" s="1207"/>
    </row>
    <row r="152" spans="2:10" ht="13">
      <c r="B152" s="1202" t="s">
        <v>1087</v>
      </c>
      <c r="C152" s="1203"/>
      <c r="D152" s="1204"/>
      <c r="E152" s="1205"/>
      <c r="F152" s="1206">
        <f>$F$81</f>
        <v>0</v>
      </c>
      <c r="G152" s="1205"/>
      <c r="H152" s="1205"/>
      <c r="I152" s="1205"/>
      <c r="J152" s="1207"/>
    </row>
    <row r="153" spans="2:10" ht="13">
      <c r="B153" s="1208" t="s">
        <v>1088</v>
      </c>
      <c r="C153" s="1203"/>
      <c r="D153" s="1204"/>
      <c r="E153" s="1205">
        <f>F153+G153+H153+I153</f>
        <v>-148225095.81276774</v>
      </c>
      <c r="F153" s="1205">
        <f>F152*F147</f>
        <v>0</v>
      </c>
      <c r="G153" s="1205">
        <f>G147*G151</f>
        <v>0</v>
      </c>
      <c r="H153" s="1205">
        <f>H147*H150</f>
        <v>-148225095.81276774</v>
      </c>
      <c r="I153" s="1205">
        <f>I149*I147</f>
        <v>0</v>
      </c>
      <c r="J153" s="1207"/>
    </row>
    <row r="154" spans="2:10" ht="17.25" customHeight="1">
      <c r="B154" s="1188"/>
      <c r="C154" s="1188"/>
      <c r="E154" s="1178"/>
      <c r="F154" s="1178"/>
      <c r="G154" s="1178"/>
      <c r="H154" s="1178"/>
      <c r="I154" s="1178"/>
      <c r="J154" s="1210"/>
    </row>
    <row r="155" spans="2:10" ht="13">
      <c r="B155" s="1209"/>
      <c r="E155" s="1178"/>
      <c r="F155" s="1178"/>
      <c r="G155" s="1178"/>
      <c r="H155" s="1178"/>
      <c r="I155" s="1178"/>
      <c r="J155" s="1210"/>
    </row>
    <row r="156" spans="2:10" ht="13">
      <c r="B156" s="1171" t="s">
        <v>216</v>
      </c>
      <c r="C156" s="1171"/>
      <c r="D156" s="1171"/>
      <c r="E156" s="1171" t="s">
        <v>217</v>
      </c>
      <c r="F156" s="1171" t="s">
        <v>1318</v>
      </c>
      <c r="G156" s="1171" t="s">
        <v>1566</v>
      </c>
      <c r="H156" s="1171" t="s">
        <v>1567</v>
      </c>
      <c r="I156" s="1171" t="s">
        <v>1568</v>
      </c>
      <c r="J156" s="1171" t="s">
        <v>1569</v>
      </c>
    </row>
    <row r="157" spans="2:10" ht="13">
      <c r="B157" s="1180"/>
      <c r="C157" s="314"/>
      <c r="D157" s="314"/>
      <c r="E157" s="1171"/>
      <c r="F157" s="1171" t="s">
        <v>1605</v>
      </c>
      <c r="G157" s="1171" t="s">
        <v>344</v>
      </c>
      <c r="H157" s="1171"/>
      <c r="I157" s="1171"/>
      <c r="J157" s="314"/>
    </row>
    <row r="158" spans="2:10" ht="13">
      <c r="B158" s="1180"/>
      <c r="C158" s="314"/>
      <c r="D158" s="314"/>
      <c r="E158" s="1171"/>
      <c r="F158" s="1171" t="s">
        <v>1606</v>
      </c>
      <c r="G158" s="1171" t="s">
        <v>274</v>
      </c>
      <c r="H158" s="1171" t="s">
        <v>345</v>
      </c>
      <c r="I158" s="1171" t="s">
        <v>346</v>
      </c>
      <c r="J158" s="314"/>
    </row>
    <row r="159" spans="2:10" ht="13">
      <c r="B159" s="1180" t="s">
        <v>1098</v>
      </c>
      <c r="C159" s="314"/>
      <c r="D159" s="314"/>
      <c r="E159" s="1171" t="s">
        <v>59</v>
      </c>
      <c r="F159" s="1174" t="s">
        <v>1607</v>
      </c>
      <c r="G159" s="1171" t="s">
        <v>347</v>
      </c>
      <c r="H159" s="1171" t="s">
        <v>347</v>
      </c>
      <c r="I159" s="1171" t="s">
        <v>347</v>
      </c>
      <c r="J159" s="1171" t="s">
        <v>351</v>
      </c>
    </row>
    <row r="160" spans="2:10">
      <c r="B160" s="1238" t="s">
        <v>2159</v>
      </c>
      <c r="C160" s="1211"/>
      <c r="D160" s="1213"/>
      <c r="E160" s="1190">
        <f>SUM(F160:I160)</f>
        <v>-491811811.19910002</v>
      </c>
      <c r="F160" s="1190"/>
      <c r="G160" s="1190"/>
      <c r="H160" s="1190">
        <v>-491811811.19910002</v>
      </c>
      <c r="I160" s="1190"/>
      <c r="J160" s="1239" t="s">
        <v>1909</v>
      </c>
    </row>
    <row r="161" spans="2:10">
      <c r="B161" s="1238"/>
      <c r="C161" s="1211"/>
      <c r="D161" s="1213"/>
      <c r="E161" s="1190"/>
      <c r="F161" s="1190"/>
      <c r="G161" s="1190"/>
      <c r="H161" s="1190"/>
      <c r="I161" s="1190"/>
      <c r="J161" s="1191"/>
    </row>
    <row r="162" spans="2:10">
      <c r="B162" s="1238"/>
      <c r="C162" s="1211"/>
      <c r="D162" s="1213"/>
      <c r="E162" s="1190"/>
      <c r="F162" s="1190"/>
      <c r="G162" s="1190"/>
      <c r="H162" s="1190"/>
      <c r="I162" s="1190"/>
      <c r="J162" s="1191"/>
    </row>
    <row r="163" spans="2:10">
      <c r="B163" s="1238"/>
      <c r="C163" s="1211"/>
      <c r="D163" s="1213"/>
      <c r="E163" s="1190"/>
      <c r="F163" s="1190"/>
      <c r="G163" s="1190"/>
      <c r="H163" s="1190"/>
      <c r="I163" s="1190"/>
      <c r="J163" s="1191"/>
    </row>
    <row r="164" spans="2:10">
      <c r="B164" s="1238"/>
      <c r="C164" s="1211"/>
      <c r="D164" s="1213"/>
      <c r="E164" s="1190"/>
      <c r="F164" s="1190"/>
      <c r="G164" s="1190"/>
      <c r="H164" s="1190"/>
      <c r="I164" s="1190"/>
      <c r="J164" s="1191"/>
    </row>
    <row r="165" spans="2:10">
      <c r="B165" s="1238"/>
      <c r="C165" s="1211"/>
      <c r="D165" s="1213"/>
      <c r="E165" s="1190"/>
      <c r="F165" s="1190"/>
      <c r="G165" s="1190"/>
      <c r="H165" s="1190"/>
      <c r="I165" s="1190"/>
      <c r="J165" s="1191"/>
    </row>
    <row r="166" spans="2:10">
      <c r="B166" s="1238"/>
      <c r="C166" s="1211"/>
      <c r="D166" s="1212"/>
      <c r="E166" s="1214"/>
      <c r="F166" s="1214"/>
      <c r="G166" s="1214"/>
      <c r="H166" s="1214"/>
      <c r="I166" s="1214"/>
      <c r="J166" s="1215"/>
    </row>
    <row r="167" spans="2:10" ht="13">
      <c r="B167" s="1197" t="s">
        <v>1099</v>
      </c>
      <c r="C167" s="1194"/>
      <c r="D167" s="1194"/>
      <c r="E167" s="1195">
        <f>SUM(E160:E166)</f>
        <v>-491811811.19910002</v>
      </c>
      <c r="F167" s="1195">
        <f>SUM(F160:F166)</f>
        <v>0</v>
      </c>
      <c r="G167" s="1195">
        <f>SUM(G160:G166)</f>
        <v>0</v>
      </c>
      <c r="H167" s="1195">
        <f>SUM(H160:H166)</f>
        <v>-491811811.19910002</v>
      </c>
      <c r="I167" s="1195">
        <f>SUM(I160:I166)</f>
        <v>0</v>
      </c>
      <c r="J167" s="1196"/>
    </row>
    <row r="168" spans="2:10" ht="13">
      <c r="B168" s="1197"/>
      <c r="C168" s="1194"/>
      <c r="D168" s="1194"/>
      <c r="E168" s="1195"/>
      <c r="F168" s="1195"/>
      <c r="G168" s="1195"/>
      <c r="H168" s="1195"/>
      <c r="I168" s="1195"/>
      <c r="J168" s="1196"/>
    </row>
    <row r="169" spans="2:10">
      <c r="B169" s="1216" t="s">
        <v>1612</v>
      </c>
      <c r="C169" s="1217"/>
      <c r="D169" s="1218"/>
      <c r="E169" s="1200"/>
      <c r="F169" s="1190"/>
      <c r="G169" s="1190"/>
      <c r="H169" s="1190"/>
      <c r="I169" s="1190"/>
      <c r="J169" s="1201"/>
    </row>
    <row r="170" spans="2:10">
      <c r="B170" s="1198" t="s">
        <v>1613</v>
      </c>
      <c r="C170" s="1199"/>
      <c r="D170" s="1218"/>
      <c r="E170" s="1200"/>
      <c r="F170" s="1190"/>
      <c r="G170" s="1190"/>
      <c r="H170" s="1190"/>
      <c r="I170" s="1190"/>
      <c r="J170" s="1201"/>
    </row>
    <row r="171" spans="2:10">
      <c r="B171" s="1198" t="s">
        <v>1614</v>
      </c>
      <c r="C171" s="1199"/>
      <c r="D171" s="1218"/>
      <c r="E171" s="1200"/>
      <c r="F171" s="1190"/>
      <c r="G171" s="1190"/>
      <c r="H171" s="1190"/>
      <c r="I171" s="1190"/>
      <c r="J171" s="1201"/>
    </row>
    <row r="172" spans="2:10">
      <c r="B172" s="1198" t="s">
        <v>1162</v>
      </c>
      <c r="C172" s="1199"/>
      <c r="D172" s="1218"/>
      <c r="E172" s="1200"/>
      <c r="F172" s="1190"/>
      <c r="G172" s="1190"/>
      <c r="H172" s="1190"/>
      <c r="I172" s="1190"/>
      <c r="J172" s="1201"/>
    </row>
    <row r="173" spans="2:10" ht="5.15" customHeight="1">
      <c r="B173" s="1192"/>
      <c r="C173" s="1193"/>
      <c r="D173" s="1194"/>
      <c r="E173" s="1195"/>
      <c r="F173" s="1195"/>
      <c r="G173" s="1195"/>
      <c r="H173" s="1195"/>
      <c r="I173" s="1195"/>
      <c r="J173" s="1196"/>
    </row>
    <row r="174" spans="2:10" ht="13">
      <c r="B174" s="1219" t="s">
        <v>1097</v>
      </c>
      <c r="C174" s="1220"/>
      <c r="D174" s="1194"/>
      <c r="E174" s="1195">
        <f>SUM(E169:E172)+E167</f>
        <v>-491811811.19910002</v>
      </c>
      <c r="F174" s="1195">
        <f>SUM(F169:F172)+F167</f>
        <v>0</v>
      </c>
      <c r="G174" s="1195">
        <f>SUM(G169:G172)+G167</f>
        <v>0</v>
      </c>
      <c r="H174" s="1195">
        <f>SUM(H169:H172)+H167</f>
        <v>-491811811.19910002</v>
      </c>
      <c r="I174" s="1195">
        <f>SUM(I169:I172)+I167</f>
        <v>0</v>
      </c>
      <c r="J174" s="1196"/>
    </row>
    <row r="175" spans="2:10" ht="13">
      <c r="B175" s="1221"/>
      <c r="C175" s="1222"/>
      <c r="D175" s="1222"/>
      <c r="E175" s="1205"/>
      <c r="F175" s="1195"/>
      <c r="G175" s="1195"/>
      <c r="H175" s="1195"/>
      <c r="I175" s="1195"/>
      <c r="J175" s="1207"/>
    </row>
    <row r="176" spans="2:10" ht="13">
      <c r="B176" s="1223" t="s">
        <v>350</v>
      </c>
      <c r="C176" s="1224"/>
      <c r="D176" s="1204"/>
      <c r="E176" s="1205"/>
      <c r="F176" s="1205"/>
      <c r="G176" s="1205"/>
      <c r="H176" s="1205"/>
      <c r="I176" s="1206">
        <f>$I$78</f>
        <v>0.12211713926723032</v>
      </c>
      <c r="J176" s="1207"/>
    </row>
    <row r="177" spans="2:10" ht="13">
      <c r="B177" s="1202" t="s">
        <v>297</v>
      </c>
      <c r="C177" s="1203"/>
      <c r="D177" s="1204"/>
      <c r="E177" s="1205"/>
      <c r="F177" s="1205"/>
      <c r="G177" s="1205"/>
      <c r="H177" s="1206">
        <f>$H$79</f>
        <v>0.18019919310362698</v>
      </c>
      <c r="I177" s="1205"/>
      <c r="J177" s="1207"/>
    </row>
    <row r="178" spans="2:10" ht="13">
      <c r="B178" s="1202" t="s">
        <v>1086</v>
      </c>
      <c r="C178" s="1203"/>
      <c r="D178" s="1204"/>
      <c r="E178" s="1205"/>
      <c r="F178" s="1205"/>
      <c r="G178" s="1206">
        <f>$G$80</f>
        <v>1</v>
      </c>
      <c r="H178" s="1205"/>
      <c r="I178" s="1205"/>
      <c r="J178" s="1207"/>
    </row>
    <row r="179" spans="2:10" ht="13">
      <c r="B179" s="1202" t="s">
        <v>1087</v>
      </c>
      <c r="C179" s="1203"/>
      <c r="D179" s="1204"/>
      <c r="E179" s="1205"/>
      <c r="F179" s="1206">
        <f>$F$81</f>
        <v>0</v>
      </c>
      <c r="G179" s="1205"/>
      <c r="H179" s="1205"/>
      <c r="I179" s="1205"/>
      <c r="J179" s="1207"/>
    </row>
    <row r="180" spans="2:10" ht="13">
      <c r="B180" s="1208" t="s">
        <v>1088</v>
      </c>
      <c r="C180" s="1203"/>
      <c r="D180" s="1204"/>
      <c r="E180" s="1205">
        <f>F180+G180+H180+I180</f>
        <v>-88624091.53691116</v>
      </c>
      <c r="F180" s="1205">
        <f>F179*F174</f>
        <v>0</v>
      </c>
      <c r="G180" s="1205">
        <f>G174*G178</f>
        <v>0</v>
      </c>
      <c r="H180" s="1205">
        <f>H174*H177</f>
        <v>-88624091.53691116</v>
      </c>
      <c r="I180" s="1205">
        <f>I176*I174</f>
        <v>0</v>
      </c>
      <c r="J180" s="1207"/>
    </row>
    <row r="181" spans="2:10" ht="13">
      <c r="B181" s="1209"/>
      <c r="E181" s="1178"/>
      <c r="F181" s="1178"/>
      <c r="G181" s="1178"/>
      <c r="H181" s="1178"/>
      <c r="I181" s="1178">
        <f>H181/H177</f>
        <v>0</v>
      </c>
      <c r="J181" s="1210"/>
    </row>
    <row r="182" spans="2:10" ht="13">
      <c r="B182" s="1209"/>
      <c r="E182" s="1178"/>
      <c r="F182" s="1178"/>
      <c r="G182" s="1178"/>
      <c r="H182" s="1178"/>
      <c r="I182" s="1178"/>
      <c r="J182" s="1210"/>
    </row>
    <row r="183" spans="2:10" ht="13">
      <c r="B183" s="1171" t="s">
        <v>216</v>
      </c>
      <c r="C183" s="1171"/>
      <c r="D183" s="1171"/>
      <c r="E183" s="1171" t="s">
        <v>217</v>
      </c>
      <c r="F183" s="1171" t="s">
        <v>1318</v>
      </c>
      <c r="G183" s="1171" t="s">
        <v>1566</v>
      </c>
      <c r="H183" s="1171" t="s">
        <v>1567</v>
      </c>
      <c r="I183" s="1171" t="s">
        <v>1568</v>
      </c>
      <c r="J183" s="1171" t="s">
        <v>1569</v>
      </c>
    </row>
    <row r="184" spans="2:10" ht="13">
      <c r="B184" s="1180"/>
      <c r="C184" s="314"/>
      <c r="D184" s="314"/>
      <c r="E184" s="1171"/>
      <c r="F184" s="1171" t="s">
        <v>1605</v>
      </c>
      <c r="G184" s="1171" t="s">
        <v>344</v>
      </c>
      <c r="H184" s="1171"/>
      <c r="I184" s="1171"/>
      <c r="J184" s="314"/>
    </row>
    <row r="185" spans="2:10" ht="13">
      <c r="B185" s="1180"/>
      <c r="C185" s="314"/>
      <c r="D185" s="314"/>
      <c r="E185" s="1171"/>
      <c r="F185" s="1171" t="s">
        <v>1606</v>
      </c>
      <c r="G185" s="1171" t="s">
        <v>274</v>
      </c>
      <c r="H185" s="1171" t="s">
        <v>345</v>
      </c>
      <c r="I185" s="1171" t="s">
        <v>346</v>
      </c>
      <c r="J185" s="314"/>
    </row>
    <row r="186" spans="2:10" ht="13">
      <c r="B186" s="1180" t="s">
        <v>1100</v>
      </c>
      <c r="C186" s="314"/>
      <c r="D186" s="314"/>
      <c r="E186" s="1171" t="s">
        <v>59</v>
      </c>
      <c r="F186" s="1174" t="s">
        <v>1607</v>
      </c>
      <c r="G186" s="1171" t="s">
        <v>347</v>
      </c>
      <c r="H186" s="1171" t="s">
        <v>347</v>
      </c>
      <c r="I186" s="1171" t="s">
        <v>347</v>
      </c>
      <c r="J186" s="1171" t="s">
        <v>351</v>
      </c>
    </row>
    <row r="187" spans="2:10">
      <c r="B187" s="1204" t="s">
        <v>1101</v>
      </c>
      <c r="C187" s="1204"/>
      <c r="D187" s="1204"/>
      <c r="E187" s="1195">
        <f>SUM(F187:I187)</f>
        <v>-833879997.22144306</v>
      </c>
      <c r="F187" s="1205">
        <f>F140</f>
        <v>-999513.09469032288</v>
      </c>
      <c r="G187" s="1205">
        <f>G140</f>
        <v>-10318000.578182856</v>
      </c>
      <c r="H187" s="1205">
        <f>H140</f>
        <v>-822562483.54856992</v>
      </c>
      <c r="I187" s="1205">
        <f>I140</f>
        <v>0</v>
      </c>
      <c r="J187" s="1207"/>
    </row>
    <row r="188" spans="2:10">
      <c r="B188" s="1204" t="s">
        <v>1098</v>
      </c>
      <c r="C188" s="1204"/>
      <c r="D188" s="1204"/>
      <c r="E188" s="1195">
        <f>SUM(F188:I188)</f>
        <v>-491811811.19910002</v>
      </c>
      <c r="F188" s="1205">
        <f>F167</f>
        <v>0</v>
      </c>
      <c r="G188" s="1205">
        <f>G167</f>
        <v>0</v>
      </c>
      <c r="H188" s="1205">
        <f>H167</f>
        <v>-491811811.19910002</v>
      </c>
      <c r="I188" s="1205">
        <f>I167</f>
        <v>0</v>
      </c>
      <c r="J188" s="1207"/>
    </row>
    <row r="189" spans="2:10" ht="13">
      <c r="B189" s="1197" t="s">
        <v>1927</v>
      </c>
      <c r="C189" s="1204"/>
      <c r="D189" s="1204"/>
      <c r="E189" s="1205">
        <f>E187+E188</f>
        <v>-1325691808.4205432</v>
      </c>
      <c r="F189" s="1205">
        <f>F187+F188</f>
        <v>-999513.09469032288</v>
      </c>
      <c r="G189" s="1205">
        <f>G187+G188</f>
        <v>-10318000.578182856</v>
      </c>
      <c r="H189" s="1205">
        <f>H187+H188</f>
        <v>-1314374294.7476699</v>
      </c>
      <c r="I189" s="1205">
        <f>I187+I188</f>
        <v>0</v>
      </c>
      <c r="J189" s="1207"/>
    </row>
    <row r="190" spans="2:10" ht="13">
      <c r="B190" s="1209"/>
      <c r="E190" s="1178"/>
      <c r="F190" s="1178"/>
      <c r="G190" s="1178"/>
      <c r="H190" s="1178"/>
      <c r="I190" s="1178"/>
      <c r="J190" s="1210"/>
    </row>
    <row r="191" spans="2:10" s="314" customFormat="1" ht="13">
      <c r="B191" s="1180" t="s">
        <v>368</v>
      </c>
      <c r="G191" s="1230"/>
      <c r="H191" s="1230"/>
      <c r="I191" s="1230"/>
      <c r="J191" s="1231"/>
    </row>
    <row r="192" spans="2:10" s="314" customFormat="1" ht="12.75" customHeight="1">
      <c r="B192" s="1845" t="s">
        <v>1616</v>
      </c>
      <c r="C192" s="1845"/>
      <c r="D192" s="1845"/>
      <c r="E192" s="1845"/>
      <c r="F192" s="1845"/>
      <c r="G192" s="1845"/>
      <c r="H192" s="1845"/>
      <c r="I192" s="1845"/>
      <c r="J192" s="1231"/>
    </row>
    <row r="193" spans="2:12" s="314" customFormat="1" ht="13">
      <c r="B193" s="1233" t="s">
        <v>364</v>
      </c>
      <c r="C193" s="1233"/>
      <c r="H193" s="1230"/>
      <c r="I193" s="1230"/>
      <c r="J193" s="1231"/>
    </row>
    <row r="194" spans="2:12" s="314" customFormat="1" ht="13">
      <c r="B194" s="1233" t="s">
        <v>365</v>
      </c>
      <c r="C194" s="1233"/>
      <c r="H194" s="1230"/>
      <c r="I194" s="1230"/>
      <c r="J194" s="1231"/>
    </row>
    <row r="195" spans="2:12" s="314" customFormat="1" ht="13">
      <c r="B195" s="1233" t="s">
        <v>366</v>
      </c>
      <c r="C195" s="1233"/>
      <c r="H195" s="1230"/>
      <c r="I195" s="1230"/>
      <c r="J195" s="1231"/>
    </row>
    <row r="196" spans="2:12" s="314" customFormat="1" ht="15.75" customHeight="1">
      <c r="B196" s="1845" t="s">
        <v>1093</v>
      </c>
      <c r="C196" s="1845"/>
      <c r="D196" s="1845"/>
      <c r="E196" s="1845"/>
      <c r="F196" s="1845"/>
      <c r="G196" s="1845"/>
      <c r="H196" s="1845"/>
      <c r="I196" s="1845"/>
      <c r="K196" s="1234"/>
    </row>
    <row r="197" spans="2:12" s="314" customFormat="1" ht="15.75" customHeight="1">
      <c r="B197" s="1845"/>
      <c r="C197" s="1845"/>
      <c r="D197" s="1845"/>
      <c r="E197" s="1845"/>
      <c r="F197" s="1845"/>
      <c r="G197" s="1845"/>
      <c r="H197" s="1845"/>
      <c r="I197" s="1845"/>
      <c r="K197" s="1234"/>
    </row>
    <row r="198" spans="2:12" s="314" customFormat="1" ht="13">
      <c r="B198" s="1233" t="s">
        <v>1103</v>
      </c>
      <c r="G198" s="1230"/>
      <c r="H198" s="1230"/>
      <c r="I198" s="1230"/>
      <c r="J198" s="1231"/>
    </row>
    <row r="199" spans="2:12" ht="13">
      <c r="B199" s="1240" t="s">
        <v>1104</v>
      </c>
    </row>
    <row r="200" spans="2:12" ht="12" customHeight="1">
      <c r="B200" s="1241"/>
      <c r="C200" s="1242"/>
      <c r="D200" s="1243"/>
      <c r="E200" s="1243"/>
      <c r="F200" s="1243"/>
      <c r="G200" s="1243"/>
      <c r="H200" s="1243"/>
      <c r="I200" s="1243"/>
      <c r="J200" s="1243"/>
    </row>
    <row r="201" spans="2:12" ht="13">
      <c r="B201" s="1168"/>
    </row>
    <row r="202" spans="2:12" ht="13">
      <c r="B202" s="1171" t="s">
        <v>216</v>
      </c>
      <c r="C202" s="1171"/>
      <c r="D202" s="1171"/>
      <c r="E202" s="1171" t="s">
        <v>217</v>
      </c>
      <c r="F202" s="1171" t="s">
        <v>1318</v>
      </c>
      <c r="G202" s="1171" t="s">
        <v>1566</v>
      </c>
      <c r="H202" s="1171" t="s">
        <v>1567</v>
      </c>
      <c r="I202" s="1171" t="s">
        <v>1568</v>
      </c>
      <c r="J202" s="1171" t="s">
        <v>1569</v>
      </c>
    </row>
    <row r="203" spans="2:12" ht="13">
      <c r="B203" s="1180"/>
      <c r="C203" s="314"/>
      <c r="D203" s="314"/>
      <c r="E203" s="1171"/>
      <c r="F203" s="1171" t="s">
        <v>1605</v>
      </c>
      <c r="G203" s="1171" t="s">
        <v>344</v>
      </c>
      <c r="H203" s="1171"/>
      <c r="I203" s="1171"/>
      <c r="J203" s="314"/>
    </row>
    <row r="204" spans="2:12" ht="13">
      <c r="B204" s="1180"/>
      <c r="C204" s="1188"/>
      <c r="D204" s="314"/>
      <c r="E204" s="1171"/>
      <c r="F204" s="1171" t="s">
        <v>1606</v>
      </c>
      <c r="G204" s="1171" t="s">
        <v>274</v>
      </c>
      <c r="H204" s="1171" t="s">
        <v>345</v>
      </c>
      <c r="I204" s="1171" t="s">
        <v>346</v>
      </c>
      <c r="J204" s="314"/>
      <c r="L204" s="1167" t="s">
        <v>101</v>
      </c>
    </row>
    <row r="205" spans="2:12" ht="13">
      <c r="B205" s="1180" t="s">
        <v>1105</v>
      </c>
      <c r="C205" s="314"/>
      <c r="D205" s="314"/>
      <c r="E205" s="1171" t="s">
        <v>59</v>
      </c>
      <c r="F205" s="1174" t="s">
        <v>1607</v>
      </c>
      <c r="G205" s="1171" t="s">
        <v>347</v>
      </c>
      <c r="H205" s="1171" t="s">
        <v>347</v>
      </c>
      <c r="I205" s="1171" t="s">
        <v>347</v>
      </c>
      <c r="J205" s="1171" t="s">
        <v>351</v>
      </c>
    </row>
    <row r="206" spans="2:12" ht="27.75" customHeight="1">
      <c r="B206" s="1364" t="s">
        <v>1899</v>
      </c>
      <c r="C206" s="1369"/>
      <c r="D206" s="1373"/>
      <c r="E206" s="1367">
        <f>SUM(F206:I206)</f>
        <v>-7048057.1330200005</v>
      </c>
      <c r="F206" s="1367">
        <v>0</v>
      </c>
      <c r="G206" s="1367">
        <v>0</v>
      </c>
      <c r="H206" s="1367">
        <v>-7048057.1330200005</v>
      </c>
      <c r="I206" s="1367">
        <v>0</v>
      </c>
      <c r="J206" s="1244" t="s">
        <v>1914</v>
      </c>
      <c r="L206" s="1413"/>
    </row>
    <row r="207" spans="2:12">
      <c r="B207" s="1364" t="s">
        <v>1888</v>
      </c>
      <c r="C207" s="1369"/>
      <c r="D207" s="1373"/>
      <c r="E207" s="1367">
        <f t="shared" ref="E207:E212" si="7">SUM(F207:I207)</f>
        <v>-1346992.7929699</v>
      </c>
      <c r="F207" s="1367">
        <v>-1346992.7929699</v>
      </c>
      <c r="G207" s="1367">
        <v>0</v>
      </c>
      <c r="H207" s="1367">
        <v>0</v>
      </c>
      <c r="I207" s="1367">
        <v>0</v>
      </c>
      <c r="J207" s="1244" t="s">
        <v>1905</v>
      </c>
      <c r="L207" s="1413"/>
    </row>
    <row r="208" spans="2:12" ht="25">
      <c r="B208" s="1364" t="s">
        <v>1900</v>
      </c>
      <c r="C208" s="1369"/>
      <c r="D208" s="1373"/>
      <c r="E208" s="1367">
        <f t="shared" si="7"/>
        <v>-1210955.8023724</v>
      </c>
      <c r="F208" s="1367">
        <v>0</v>
      </c>
      <c r="G208" s="1367">
        <v>0</v>
      </c>
      <c r="H208" s="1367">
        <v>-1210955.8023724</v>
      </c>
      <c r="I208" s="1367">
        <v>0</v>
      </c>
      <c r="J208" s="1244" t="s">
        <v>1914</v>
      </c>
      <c r="L208" s="1413"/>
    </row>
    <row r="209" spans="2:12" ht="25">
      <c r="B209" s="1364" t="s">
        <v>1901</v>
      </c>
      <c r="C209" s="1369"/>
      <c r="D209" s="1373"/>
      <c r="E209" s="1367">
        <f t="shared" si="7"/>
        <v>-77294132.031179294</v>
      </c>
      <c r="F209" s="1367">
        <v>0</v>
      </c>
      <c r="G209" s="1367">
        <v>0</v>
      </c>
      <c r="H209" s="1367">
        <v>0</v>
      </c>
      <c r="I209" s="1367">
        <v>-77294132.031179294</v>
      </c>
      <c r="J209" s="1244" t="s">
        <v>1915</v>
      </c>
      <c r="L209" s="1413"/>
    </row>
    <row r="210" spans="2:12">
      <c r="B210" s="1364" t="s">
        <v>130</v>
      </c>
      <c r="C210" s="1369"/>
      <c r="D210" s="1373"/>
      <c r="E210" s="1367">
        <f t="shared" si="7"/>
        <v>-622347.91629959992</v>
      </c>
      <c r="F210" s="1367">
        <v>0</v>
      </c>
      <c r="G210" s="1367">
        <v>0</v>
      </c>
      <c r="H210" s="1367">
        <v>0</v>
      </c>
      <c r="I210" s="1367">
        <v>-622347.91629959992</v>
      </c>
      <c r="J210" s="1396" t="s">
        <v>1905</v>
      </c>
      <c r="L210" s="1413"/>
    </row>
    <row r="211" spans="2:12">
      <c r="B211" s="1364" t="s">
        <v>1902</v>
      </c>
      <c r="C211" s="1369"/>
      <c r="D211" s="1373"/>
      <c r="E211" s="1367">
        <f t="shared" si="7"/>
        <v>-119705730.02902979</v>
      </c>
      <c r="F211" s="1367">
        <v>-119705730.02902979</v>
      </c>
      <c r="G211" s="1367">
        <v>0</v>
      </c>
      <c r="H211" s="1367">
        <v>0</v>
      </c>
      <c r="I211" s="1367">
        <v>0</v>
      </c>
      <c r="J211" s="1244" t="s">
        <v>1905</v>
      </c>
      <c r="L211" s="1413"/>
    </row>
    <row r="212" spans="2:12" ht="15" customHeight="1">
      <c r="B212" s="1364" t="s">
        <v>1903</v>
      </c>
      <c r="C212" s="1369"/>
      <c r="D212" s="1373"/>
      <c r="E212" s="1367">
        <f t="shared" si="7"/>
        <v>-2310655.4172506994</v>
      </c>
      <c r="F212" s="1367">
        <v>-2310655.4172506994</v>
      </c>
      <c r="G212" s="1367">
        <v>0</v>
      </c>
      <c r="H212" s="1367">
        <v>0</v>
      </c>
      <c r="I212" s="1367">
        <v>0</v>
      </c>
      <c r="J212" s="1244" t="s">
        <v>1916</v>
      </c>
      <c r="L212" s="1413"/>
    </row>
    <row r="213" spans="2:12" ht="13">
      <c r="B213" s="1197" t="s">
        <v>1106</v>
      </c>
      <c r="C213" s="1194"/>
      <c r="D213" s="1194"/>
      <c r="E213" s="1195">
        <f>SUM(E206:E212)</f>
        <v>-209538871.12212169</v>
      </c>
      <c r="F213" s="1195">
        <f>SUM(F206:F212)</f>
        <v>-123363378.23925038</v>
      </c>
      <c r="G213" s="1195">
        <f>SUM(G206:G212)</f>
        <v>0</v>
      </c>
      <c r="H213" s="1195">
        <f>SUM(H206:H212)</f>
        <v>-8259012.9353924002</v>
      </c>
      <c r="I213" s="1195">
        <f>SUM(I206:I212)</f>
        <v>-77916479.94747889</v>
      </c>
      <c r="J213" s="1196"/>
    </row>
    <row r="214" spans="2:12" ht="13">
      <c r="B214" s="1197"/>
      <c r="C214" s="1194"/>
      <c r="D214" s="1194"/>
      <c r="E214" s="1195"/>
      <c r="F214" s="1195"/>
      <c r="G214" s="1195"/>
      <c r="H214" s="1195"/>
      <c r="I214" s="1195"/>
      <c r="J214" s="1196"/>
    </row>
    <row r="215" spans="2:12">
      <c r="B215" s="1216" t="s">
        <v>1612</v>
      </c>
      <c r="C215" s="1217"/>
      <c r="D215" s="1218"/>
      <c r="E215" s="1200"/>
      <c r="F215" s="1190"/>
      <c r="G215" s="1190"/>
      <c r="H215" s="1190"/>
      <c r="I215" s="1190"/>
      <c r="J215" s="1201"/>
    </row>
    <row r="216" spans="2:12">
      <c r="B216" s="1198" t="s">
        <v>1613</v>
      </c>
      <c r="C216" s="1199"/>
      <c r="D216" s="1218"/>
      <c r="E216" s="1200"/>
      <c r="F216" s="1190"/>
      <c r="G216" s="1190"/>
      <c r="H216" s="1190"/>
      <c r="I216" s="1190"/>
      <c r="J216" s="1201"/>
    </row>
    <row r="217" spans="2:12">
      <c r="B217" s="1198" t="s">
        <v>1614</v>
      </c>
      <c r="C217" s="1199"/>
      <c r="D217" s="1218"/>
      <c r="E217" s="1200"/>
      <c r="F217" s="1190"/>
      <c r="G217" s="1190"/>
      <c r="H217" s="1190"/>
      <c r="I217" s="1190"/>
      <c r="J217" s="1201"/>
    </row>
    <row r="218" spans="2:12">
      <c r="B218" s="1198" t="s">
        <v>1162</v>
      </c>
      <c r="C218" s="1199"/>
      <c r="D218" s="1218"/>
      <c r="E218" s="1200"/>
      <c r="F218" s="1190"/>
      <c r="G218" s="1190"/>
      <c r="H218" s="1190"/>
      <c r="I218" s="1190"/>
      <c r="J218" s="1201"/>
    </row>
    <row r="219" spans="2:12" ht="5.15" customHeight="1">
      <c r="B219" s="1192"/>
      <c r="C219" s="1193"/>
      <c r="D219" s="1194"/>
      <c r="E219" s="1195"/>
      <c r="F219" s="1195"/>
      <c r="G219" s="1195"/>
      <c r="H219" s="1195"/>
      <c r="I219" s="1195"/>
      <c r="J219" s="1196"/>
    </row>
    <row r="220" spans="2:12" ht="13">
      <c r="B220" s="1219" t="s">
        <v>1107</v>
      </c>
      <c r="C220" s="1220"/>
      <c r="D220" s="1194"/>
      <c r="E220" s="1195">
        <f>SUM(E215:E218)+E213</f>
        <v>-209538871.12212169</v>
      </c>
      <c r="F220" s="1195">
        <f>SUM(F215:F218)+F213</f>
        <v>-123363378.23925038</v>
      </c>
      <c r="G220" s="1195">
        <f>SUM(G215:G218)+G213</f>
        <v>0</v>
      </c>
      <c r="H220" s="1195">
        <f>SUM(H215:H218)+H213</f>
        <v>-8259012.9353924002</v>
      </c>
      <c r="I220" s="1195">
        <f>SUM(I215:I218)+I213</f>
        <v>-77916479.94747889</v>
      </c>
      <c r="J220" s="1196"/>
    </row>
    <row r="221" spans="2:12" ht="13">
      <c r="B221" s="1221"/>
      <c r="C221" s="1222"/>
      <c r="D221" s="1222"/>
      <c r="E221" s="1205"/>
      <c r="F221" s="1195"/>
      <c r="G221" s="1195"/>
      <c r="H221" s="1195"/>
      <c r="I221" s="1195"/>
      <c r="J221" s="1207"/>
    </row>
    <row r="222" spans="2:12" ht="13">
      <c r="B222" s="1223" t="s">
        <v>350</v>
      </c>
      <c r="C222" s="1224"/>
      <c r="D222" s="1204"/>
      <c r="E222" s="1205"/>
      <c r="F222" s="1205"/>
      <c r="G222" s="1205"/>
      <c r="H222" s="1205"/>
      <c r="I222" s="1206">
        <f>$I$78</f>
        <v>0.12211713926723032</v>
      </c>
      <c r="J222" s="1207"/>
    </row>
    <row r="223" spans="2:12" ht="13">
      <c r="B223" s="1202" t="s">
        <v>297</v>
      </c>
      <c r="C223" s="1203"/>
      <c r="D223" s="1204"/>
      <c r="E223" s="1205"/>
      <c r="F223" s="1205"/>
      <c r="G223" s="1205"/>
      <c r="H223" s="1206">
        <f>$H$79</f>
        <v>0.18019919310362698</v>
      </c>
      <c r="I223" s="1205"/>
      <c r="J223" s="1207"/>
    </row>
    <row r="224" spans="2:12" ht="13">
      <c r="B224" s="1202" t="s">
        <v>1086</v>
      </c>
      <c r="C224" s="1203"/>
      <c r="D224" s="1204"/>
      <c r="E224" s="1205"/>
      <c r="F224" s="1205"/>
      <c r="G224" s="1206">
        <f>$G$80</f>
        <v>1</v>
      </c>
      <c r="H224" s="1205"/>
      <c r="I224" s="1205"/>
      <c r="J224" s="1207"/>
    </row>
    <row r="225" spans="2:10" ht="13">
      <c r="B225" s="1202" t="s">
        <v>1087</v>
      </c>
      <c r="C225" s="1203"/>
      <c r="D225" s="1204"/>
      <c r="E225" s="1205"/>
      <c r="F225" s="1206">
        <f>$F$81</f>
        <v>0</v>
      </c>
      <c r="G225" s="1205"/>
      <c r="H225" s="1205"/>
      <c r="I225" s="1205"/>
      <c r="J225" s="1207"/>
    </row>
    <row r="226" spans="2:10" ht="17.25" customHeight="1">
      <c r="B226" s="1208" t="s">
        <v>1088</v>
      </c>
      <c r="C226" s="1203"/>
      <c r="D226" s="1204"/>
      <c r="E226" s="1205">
        <f>F226+G226+H226+I226</f>
        <v>-11003205.099748766</v>
      </c>
      <c r="F226" s="1205">
        <f>F225*F220</f>
        <v>0</v>
      </c>
      <c r="G226" s="1205">
        <f>G220*G224</f>
        <v>0</v>
      </c>
      <c r="H226" s="1205">
        <f>H220*H223</f>
        <v>-1488267.4667901283</v>
      </c>
      <c r="I226" s="1205">
        <f>I222*I220</f>
        <v>-9514937.6329586376</v>
      </c>
      <c r="J226" s="1207"/>
    </row>
    <row r="227" spans="2:10" ht="12.75" customHeight="1">
      <c r="B227" s="1241"/>
      <c r="C227" s="1243"/>
      <c r="D227" s="1243"/>
      <c r="E227" s="1243"/>
      <c r="F227" s="1243"/>
      <c r="G227" s="1243"/>
      <c r="H227" s="1243"/>
      <c r="I227" s="1243"/>
      <c r="J227" s="1243"/>
    </row>
    <row r="228" spans="2:10" ht="13">
      <c r="B228" s="1171"/>
      <c r="C228" s="1171"/>
      <c r="D228" s="1171"/>
      <c r="E228" s="1171"/>
      <c r="F228" s="1171"/>
      <c r="G228" s="1171"/>
      <c r="H228" s="1171"/>
      <c r="I228" s="1171"/>
      <c r="J228" s="1171"/>
    </row>
    <row r="229" spans="2:10" ht="13">
      <c r="B229" s="1171" t="s">
        <v>216</v>
      </c>
      <c r="C229" s="314"/>
      <c r="D229" s="314"/>
      <c r="E229" s="1171" t="s">
        <v>217</v>
      </c>
      <c r="F229" s="1171" t="s">
        <v>1318</v>
      </c>
      <c r="G229" s="1171" t="s">
        <v>1566</v>
      </c>
      <c r="H229" s="1171" t="s">
        <v>1567</v>
      </c>
      <c r="I229" s="1171" t="s">
        <v>1568</v>
      </c>
      <c r="J229" s="1171" t="s">
        <v>1569</v>
      </c>
    </row>
    <row r="230" spans="2:10" ht="13">
      <c r="B230" s="1180"/>
      <c r="C230" s="314"/>
      <c r="D230" s="314"/>
      <c r="E230" s="1171"/>
      <c r="F230" s="1171" t="s">
        <v>1605</v>
      </c>
      <c r="G230" s="1171" t="s">
        <v>344</v>
      </c>
      <c r="H230" s="1171"/>
      <c r="I230" s="1171"/>
      <c r="J230" s="314"/>
    </row>
    <row r="231" spans="2:10" ht="13">
      <c r="B231" s="1225"/>
      <c r="C231" s="314"/>
      <c r="D231" s="314"/>
      <c r="E231" s="1171"/>
      <c r="F231" s="1171" t="s">
        <v>1606</v>
      </c>
      <c r="G231" s="1171" t="s">
        <v>274</v>
      </c>
      <c r="H231" s="1171" t="s">
        <v>345</v>
      </c>
      <c r="I231" s="1171" t="s">
        <v>346</v>
      </c>
      <c r="J231" s="314"/>
    </row>
    <row r="232" spans="2:10" ht="13">
      <c r="B232" s="1180" t="s">
        <v>1617</v>
      </c>
      <c r="E232" s="1171" t="s">
        <v>59</v>
      </c>
      <c r="F232" s="1174" t="s">
        <v>1607</v>
      </c>
      <c r="G232" s="1171" t="s">
        <v>347</v>
      </c>
      <c r="H232" s="1171" t="s">
        <v>347</v>
      </c>
      <c r="I232" s="1171" t="s">
        <v>347</v>
      </c>
      <c r="J232" s="1171" t="s">
        <v>351</v>
      </c>
    </row>
    <row r="233" spans="2:10">
      <c r="B233" s="1189"/>
      <c r="C233" s="1245"/>
      <c r="D233" s="1213"/>
      <c r="E233" s="1190"/>
      <c r="F233" s="1190"/>
      <c r="G233" s="1190"/>
      <c r="H233" s="1190"/>
      <c r="I233" s="1190"/>
      <c r="J233" s="1191"/>
    </row>
    <row r="234" spans="2:10">
      <c r="B234" s="1189"/>
      <c r="C234" s="1245"/>
      <c r="D234" s="1213"/>
      <c r="E234" s="1190"/>
      <c r="F234" s="1190"/>
      <c r="G234" s="1190"/>
      <c r="H234" s="1190"/>
      <c r="I234" s="1190"/>
      <c r="J234" s="1191"/>
    </row>
    <row r="235" spans="2:10">
      <c r="B235" s="1189"/>
      <c r="C235" s="1245"/>
      <c r="D235" s="1213"/>
      <c r="E235" s="1190"/>
      <c r="F235" s="1190"/>
      <c r="G235" s="1190"/>
      <c r="H235" s="1190"/>
      <c r="I235" s="1190"/>
      <c r="J235" s="1191"/>
    </row>
    <row r="236" spans="2:10">
      <c r="B236" s="1189"/>
      <c r="C236" s="1245"/>
      <c r="D236" s="1213"/>
      <c r="E236" s="1190"/>
      <c r="F236" s="1190"/>
      <c r="G236" s="1190"/>
      <c r="H236" s="1190"/>
      <c r="I236" s="1190"/>
      <c r="J236" s="1191"/>
    </row>
    <row r="237" spans="2:10">
      <c r="B237" s="1189"/>
      <c r="C237" s="1245"/>
      <c r="D237" s="1213"/>
      <c r="E237" s="1190"/>
      <c r="F237" s="1190"/>
      <c r="G237" s="1190"/>
      <c r="H237" s="1190"/>
      <c r="I237" s="1190"/>
      <c r="J237" s="1191"/>
    </row>
    <row r="238" spans="2:10">
      <c r="B238" s="1189"/>
      <c r="C238" s="1245"/>
      <c r="D238" s="1213"/>
      <c r="E238" s="1190"/>
      <c r="F238" s="1190"/>
      <c r="G238" s="1190"/>
      <c r="H238" s="1190"/>
      <c r="I238" s="1190"/>
      <c r="J238" s="1191"/>
    </row>
    <row r="239" spans="2:10">
      <c r="B239" s="1189"/>
      <c r="C239" s="1245"/>
      <c r="D239" s="1212"/>
      <c r="E239" s="1214"/>
      <c r="F239" s="1214"/>
      <c r="G239" s="1214"/>
      <c r="H239" s="1214"/>
      <c r="I239" s="1214"/>
      <c r="J239" s="1215"/>
    </row>
    <row r="240" spans="2:10" ht="13">
      <c r="B240" s="1197" t="s">
        <v>1163</v>
      </c>
      <c r="C240" s="1194"/>
      <c r="D240" s="1195"/>
      <c r="E240" s="1195">
        <f>SUM(E233:E239)</f>
        <v>0</v>
      </c>
      <c r="F240" s="1195">
        <f>SUM(F233:F239)</f>
        <v>0</v>
      </c>
      <c r="G240" s="1195">
        <f>SUM(G233:G239)</f>
        <v>0</v>
      </c>
      <c r="H240" s="1195">
        <f>SUM(H233:H239)</f>
        <v>0</v>
      </c>
      <c r="I240" s="1195">
        <f>SUM(I233:I239)</f>
        <v>0</v>
      </c>
      <c r="J240" s="1196"/>
    </row>
    <row r="241" spans="2:10" ht="13">
      <c r="B241" s="1197"/>
      <c r="C241" s="1194"/>
      <c r="D241" s="1194"/>
      <c r="E241" s="1195"/>
      <c r="F241" s="1195"/>
      <c r="G241" s="1195"/>
      <c r="H241" s="1195"/>
      <c r="I241" s="1195"/>
      <c r="J241" s="1196"/>
    </row>
    <row r="242" spans="2:10">
      <c r="B242" s="1216" t="s">
        <v>1612</v>
      </c>
      <c r="C242" s="1217"/>
      <c r="D242" s="1218"/>
      <c r="E242" s="1200"/>
      <c r="F242" s="1190"/>
      <c r="G242" s="1190"/>
      <c r="H242" s="1190"/>
      <c r="I242" s="1190"/>
      <c r="J242" s="1201"/>
    </row>
    <row r="243" spans="2:10">
      <c r="B243" s="1198" t="s">
        <v>1613</v>
      </c>
      <c r="C243" s="1199"/>
      <c r="D243" s="1218"/>
      <c r="E243" s="1200"/>
      <c r="F243" s="1190"/>
      <c r="G243" s="1190"/>
      <c r="H243" s="1190"/>
      <c r="I243" s="1190"/>
      <c r="J243" s="1201"/>
    </row>
    <row r="244" spans="2:10">
      <c r="B244" s="1198" t="s">
        <v>1614</v>
      </c>
      <c r="C244" s="1199"/>
      <c r="D244" s="1218"/>
      <c r="E244" s="1200"/>
      <c r="F244" s="1190"/>
      <c r="G244" s="1190"/>
      <c r="H244" s="1190"/>
      <c r="I244" s="1190"/>
      <c r="J244" s="1201"/>
    </row>
    <row r="245" spans="2:10">
      <c r="B245" s="1198" t="s">
        <v>1162</v>
      </c>
      <c r="C245" s="1199"/>
      <c r="D245" s="1218"/>
      <c r="E245" s="1200"/>
      <c r="F245" s="1190"/>
      <c r="G245" s="1190"/>
      <c r="H245" s="1190"/>
      <c r="I245" s="1190"/>
      <c r="J245" s="1201"/>
    </row>
    <row r="246" spans="2:10" ht="5.15" customHeight="1">
      <c r="B246" s="1192"/>
      <c r="C246" s="1193"/>
      <c r="D246" s="1194"/>
      <c r="E246" s="1195"/>
      <c r="F246" s="1195"/>
      <c r="G246" s="1195"/>
      <c r="H246" s="1195"/>
      <c r="I246" s="1195"/>
      <c r="J246" s="1196"/>
    </row>
    <row r="247" spans="2:10" ht="13">
      <c r="B247" s="1219" t="s">
        <v>1109</v>
      </c>
      <c r="C247" s="1220"/>
      <c r="D247" s="1194"/>
      <c r="E247" s="1195">
        <f>SUM(E242:E245)+E240</f>
        <v>0</v>
      </c>
      <c r="F247" s="1195">
        <f>SUM(F242:F245)+F240</f>
        <v>0</v>
      </c>
      <c r="G247" s="1195">
        <f>SUM(G242:G245)+G240</f>
        <v>0</v>
      </c>
      <c r="H247" s="1195">
        <f>SUM(H242:H245)+H240</f>
        <v>0</v>
      </c>
      <c r="I247" s="1195">
        <f>SUM(I242:I245)+I240</f>
        <v>0</v>
      </c>
      <c r="J247" s="1196"/>
    </row>
    <row r="248" spans="2:10" ht="13">
      <c r="B248" s="1221"/>
      <c r="C248" s="1222"/>
      <c r="D248" s="1222"/>
      <c r="E248" s="1205"/>
      <c r="F248" s="1195"/>
      <c r="G248" s="1195"/>
      <c r="H248" s="1195"/>
      <c r="I248" s="1195"/>
      <c r="J248" s="1207"/>
    </row>
    <row r="249" spans="2:10" ht="13">
      <c r="B249" s="1223" t="s">
        <v>350</v>
      </c>
      <c r="C249" s="1224"/>
      <c r="D249" s="1204"/>
      <c r="E249" s="1205"/>
      <c r="F249" s="1205"/>
      <c r="G249" s="1205"/>
      <c r="H249" s="1205"/>
      <c r="I249" s="1206">
        <f>$I$78</f>
        <v>0.12211713926723032</v>
      </c>
      <c r="J249" s="1207"/>
    </row>
    <row r="250" spans="2:10" ht="13">
      <c r="B250" s="1202" t="s">
        <v>297</v>
      </c>
      <c r="C250" s="1203"/>
      <c r="D250" s="1204"/>
      <c r="E250" s="1205"/>
      <c r="F250" s="1205"/>
      <c r="G250" s="1205"/>
      <c r="H250" s="1206">
        <f>$H$79</f>
        <v>0.18019919310362698</v>
      </c>
      <c r="I250" s="1205"/>
      <c r="J250" s="1207"/>
    </row>
    <row r="251" spans="2:10" ht="13">
      <c r="B251" s="1202" t="s">
        <v>1086</v>
      </c>
      <c r="C251" s="1203"/>
      <c r="D251" s="1204"/>
      <c r="E251" s="1205"/>
      <c r="F251" s="1205"/>
      <c r="G251" s="1206">
        <f>$G$80</f>
        <v>1</v>
      </c>
      <c r="H251" s="1205"/>
      <c r="I251" s="1205"/>
      <c r="J251" s="1207"/>
    </row>
    <row r="252" spans="2:10" ht="13">
      <c r="B252" s="1202" t="s">
        <v>1087</v>
      </c>
      <c r="C252" s="1203"/>
      <c r="D252" s="1204"/>
      <c r="E252" s="1205"/>
      <c r="F252" s="1206">
        <f>$F$81</f>
        <v>0</v>
      </c>
      <c r="G252" s="1205"/>
      <c r="H252" s="1205"/>
      <c r="I252" s="1205"/>
      <c r="J252" s="1207"/>
    </row>
    <row r="253" spans="2:10" ht="13">
      <c r="B253" s="1208" t="s">
        <v>1088</v>
      </c>
      <c r="C253" s="1203"/>
      <c r="D253" s="1204"/>
      <c r="E253" s="1205">
        <f>F253+G253+H253+I253</f>
        <v>0</v>
      </c>
      <c r="F253" s="1205">
        <f>F252*F247</f>
        <v>0</v>
      </c>
      <c r="G253" s="1205">
        <f>G247*G251</f>
        <v>0</v>
      </c>
      <c r="H253" s="1205">
        <f>H247*H250</f>
        <v>0</v>
      </c>
      <c r="I253" s="1205">
        <f>I249*I247</f>
        <v>0</v>
      </c>
      <c r="J253" s="1207"/>
    </row>
    <row r="254" spans="2:10" ht="13">
      <c r="B254" s="1209"/>
      <c r="E254" s="1178"/>
      <c r="F254" s="1178"/>
      <c r="G254" s="1178"/>
      <c r="H254" s="1178"/>
      <c r="I254" s="1178"/>
      <c r="J254" s="1210"/>
    </row>
    <row r="255" spans="2:10" ht="13">
      <c r="B255" s="1209"/>
      <c r="E255" s="1178"/>
      <c r="F255" s="1178"/>
      <c r="G255" s="1178"/>
      <c r="H255" s="1178"/>
      <c r="I255" s="1178"/>
      <c r="J255" s="1210"/>
    </row>
    <row r="256" spans="2:10" ht="13">
      <c r="B256" s="1171"/>
      <c r="C256" s="1171"/>
      <c r="D256" s="1171"/>
      <c r="E256" s="1171"/>
      <c r="F256" s="1171"/>
      <c r="G256" s="1171"/>
      <c r="H256" s="1171"/>
      <c r="I256" s="1171"/>
      <c r="J256" s="1171"/>
    </row>
    <row r="257" spans="2:11" ht="13">
      <c r="B257" s="1171" t="s">
        <v>216</v>
      </c>
      <c r="C257" s="314"/>
      <c r="D257" s="314"/>
      <c r="E257" s="1171" t="s">
        <v>217</v>
      </c>
      <c r="F257" s="1171" t="s">
        <v>1318</v>
      </c>
      <c r="G257" s="1171" t="s">
        <v>1566</v>
      </c>
      <c r="H257" s="1171" t="s">
        <v>1567</v>
      </c>
      <c r="I257" s="1171" t="s">
        <v>1568</v>
      </c>
      <c r="J257" s="1171" t="s">
        <v>1569</v>
      </c>
    </row>
    <row r="258" spans="2:11" ht="13">
      <c r="B258" s="1180"/>
      <c r="C258" s="314"/>
      <c r="D258" s="314"/>
      <c r="E258" s="1171"/>
      <c r="F258" s="1171" t="s">
        <v>1605</v>
      </c>
      <c r="G258" s="1171" t="s">
        <v>344</v>
      </c>
      <c r="H258" s="1171"/>
      <c r="I258" s="1171"/>
      <c r="J258" s="314"/>
    </row>
    <row r="259" spans="2:11" ht="13">
      <c r="B259" s="1225"/>
      <c r="C259" s="314"/>
      <c r="D259" s="314"/>
      <c r="E259" s="1171"/>
      <c r="F259" s="1171" t="s">
        <v>1606</v>
      </c>
      <c r="G259" s="1171" t="s">
        <v>274</v>
      </c>
      <c r="H259" s="1171" t="s">
        <v>345</v>
      </c>
      <c r="I259" s="1171" t="s">
        <v>346</v>
      </c>
      <c r="J259" s="314"/>
    </row>
    <row r="260" spans="2:11" ht="16.5" customHeight="1">
      <c r="B260" s="1180" t="s">
        <v>1108</v>
      </c>
      <c r="E260" s="1171" t="s">
        <v>59</v>
      </c>
      <c r="F260" s="1174" t="s">
        <v>1607</v>
      </c>
      <c r="G260" s="1171" t="s">
        <v>347</v>
      </c>
      <c r="H260" s="1171" t="s">
        <v>347</v>
      </c>
      <c r="I260" s="1171" t="s">
        <v>347</v>
      </c>
      <c r="J260" s="1171" t="s">
        <v>351</v>
      </c>
    </row>
    <row r="261" spans="2:11">
      <c r="B261" s="1204" t="s">
        <v>1161</v>
      </c>
      <c r="C261" s="1204"/>
      <c r="D261" s="1204"/>
      <c r="E261" s="1195">
        <f>SUM(F261:I261)</f>
        <v>-209538871.12212166</v>
      </c>
      <c r="F261" s="1205">
        <f>F213</f>
        <v>-123363378.23925038</v>
      </c>
      <c r="G261" s="1205">
        <f>G213</f>
        <v>0</v>
      </c>
      <c r="H261" s="1205">
        <f>H213</f>
        <v>-8259012.9353924002</v>
      </c>
      <c r="I261" s="1205">
        <f>I213</f>
        <v>-77916479.94747889</v>
      </c>
      <c r="J261" s="1207"/>
    </row>
    <row r="262" spans="2:11">
      <c r="B262" s="1204" t="s">
        <v>1108</v>
      </c>
      <c r="C262" s="1204"/>
      <c r="D262" s="1204"/>
      <c r="E262" s="1195">
        <f>SUM(F262:I262)</f>
        <v>0</v>
      </c>
      <c r="F262" s="1205">
        <f>F240</f>
        <v>0</v>
      </c>
      <c r="G262" s="1205">
        <f>G240</f>
        <v>0</v>
      </c>
      <c r="H262" s="1205">
        <f>H240</f>
        <v>0</v>
      </c>
      <c r="I262" s="1205">
        <f>I240</f>
        <v>0</v>
      </c>
      <c r="J262" s="1207"/>
    </row>
    <row r="263" spans="2:11" ht="13">
      <c r="B263" s="1197" t="s">
        <v>1102</v>
      </c>
      <c r="C263" s="1204"/>
      <c r="D263" s="1204"/>
      <c r="E263" s="1205">
        <f>E261+E262</f>
        <v>-209538871.12212166</v>
      </c>
      <c r="F263" s="1205">
        <f>F261+F262</f>
        <v>-123363378.23925038</v>
      </c>
      <c r="G263" s="1205">
        <f>G261+G262</f>
        <v>0</v>
      </c>
      <c r="H263" s="1205">
        <f>H261+H262</f>
        <v>-8259012.9353924002</v>
      </c>
      <c r="I263" s="1205">
        <f>I261+I262</f>
        <v>-77916479.94747889</v>
      </c>
      <c r="J263" s="1207"/>
    </row>
    <row r="264" spans="2:11" ht="13">
      <c r="B264" s="1209"/>
      <c r="E264" s="1178"/>
      <c r="F264" s="1178"/>
      <c r="G264" s="1178"/>
      <c r="H264" s="1178"/>
      <c r="I264" s="1178"/>
      <c r="J264" s="1210"/>
    </row>
    <row r="265" spans="2:11" s="314" customFormat="1" ht="13">
      <c r="B265" s="1180" t="s">
        <v>376</v>
      </c>
      <c r="G265" s="1230"/>
      <c r="H265" s="1230"/>
      <c r="I265" s="1230"/>
      <c r="J265" s="1231"/>
    </row>
    <row r="266" spans="2:11" s="314" customFormat="1" ht="13">
      <c r="B266" s="1845" t="s">
        <v>1616</v>
      </c>
      <c r="C266" s="1845"/>
      <c r="D266" s="1845"/>
      <c r="E266" s="1845"/>
      <c r="F266" s="1845"/>
      <c r="G266" s="1845"/>
      <c r="H266" s="1845"/>
      <c r="I266" s="1845"/>
      <c r="J266" s="1231"/>
    </row>
    <row r="267" spans="2:11" s="314" customFormat="1" ht="13">
      <c r="B267" s="1240" t="s">
        <v>364</v>
      </c>
      <c r="G267" s="1230"/>
      <c r="H267" s="1230"/>
      <c r="I267" s="1230"/>
      <c r="J267" s="1231"/>
    </row>
    <row r="268" spans="2:11" s="314" customFormat="1" ht="13">
      <c r="B268" s="1240" t="s">
        <v>365</v>
      </c>
      <c r="G268" s="1230"/>
      <c r="H268" s="1230"/>
      <c r="I268" s="1230"/>
      <c r="J268" s="1231"/>
    </row>
    <row r="269" spans="2:11" s="314" customFormat="1" ht="13">
      <c r="B269" s="1240" t="s">
        <v>366</v>
      </c>
      <c r="G269" s="1230"/>
      <c r="H269" s="1230"/>
      <c r="I269" s="1230"/>
      <c r="J269" s="1231"/>
    </row>
    <row r="270" spans="2:11" s="314" customFormat="1" ht="15.75" customHeight="1">
      <c r="B270" s="1840" t="s">
        <v>367</v>
      </c>
      <c r="C270" s="1840"/>
      <c r="D270" s="1840"/>
      <c r="E270" s="1840"/>
      <c r="F270" s="1840"/>
      <c r="G270" s="1840"/>
      <c r="H270" s="1840"/>
      <c r="I270" s="1840"/>
      <c r="K270" s="1234"/>
    </row>
    <row r="271" spans="2:11" s="314" customFormat="1" ht="15.75" customHeight="1">
      <c r="B271" s="1840"/>
      <c r="C271" s="1840"/>
      <c r="D271" s="1840"/>
      <c r="E271" s="1840"/>
      <c r="F271" s="1840"/>
      <c r="G271" s="1840"/>
      <c r="H271" s="1840"/>
      <c r="I271" s="1840"/>
      <c r="K271" s="1234"/>
    </row>
    <row r="272" spans="2:11" s="314" customFormat="1" ht="13">
      <c r="B272" s="1233" t="s">
        <v>1110</v>
      </c>
      <c r="G272" s="1230"/>
      <c r="H272" s="1230"/>
      <c r="I272" s="1230"/>
      <c r="J272" s="1231"/>
    </row>
    <row r="273" spans="2:10" ht="13">
      <c r="B273" s="1240" t="s">
        <v>1104</v>
      </c>
    </row>
    <row r="274" spans="2:10" ht="12" customHeight="1">
      <c r="B274" s="1241"/>
      <c r="C274" s="1242"/>
      <c r="D274" s="1243"/>
      <c r="E274" s="1243"/>
      <c r="F274" s="1243"/>
      <c r="G274" s="1243"/>
      <c r="H274" s="1243"/>
      <c r="I274" s="1243"/>
      <c r="J274" s="1243"/>
    </row>
    <row r="275" spans="2:10" ht="12.75" customHeight="1">
      <c r="B275" s="1241"/>
      <c r="C275" s="1243"/>
      <c r="D275" s="1243"/>
      <c r="E275" s="1243"/>
      <c r="F275" s="1243"/>
      <c r="G275" s="1243"/>
      <c r="H275" s="1243"/>
      <c r="I275" s="1243"/>
      <c r="J275" s="1243"/>
    </row>
    <row r="276" spans="2:10" ht="13">
      <c r="B276" s="1171" t="s">
        <v>216</v>
      </c>
      <c r="C276" s="314"/>
      <c r="D276" s="314"/>
      <c r="E276" s="1171" t="s">
        <v>217</v>
      </c>
      <c r="F276" s="1171" t="s">
        <v>1318</v>
      </c>
      <c r="G276" s="1171" t="s">
        <v>1566</v>
      </c>
      <c r="H276" s="1171" t="s">
        <v>1567</v>
      </c>
      <c r="I276" s="1171" t="s">
        <v>1568</v>
      </c>
      <c r="J276" s="1171" t="s">
        <v>1569</v>
      </c>
    </row>
    <row r="277" spans="2:10" ht="13">
      <c r="B277" s="1180"/>
      <c r="C277" s="314"/>
      <c r="D277" s="314"/>
      <c r="E277" s="1171"/>
      <c r="F277" s="1171" t="s">
        <v>1605</v>
      </c>
      <c r="G277" s="1171" t="s">
        <v>344</v>
      </c>
      <c r="H277" s="1171"/>
      <c r="I277" s="1171"/>
      <c r="J277" s="314"/>
    </row>
    <row r="278" spans="2:10" ht="13">
      <c r="B278" s="1225"/>
      <c r="C278" s="314"/>
      <c r="D278" s="314"/>
      <c r="E278" s="1171"/>
      <c r="F278" s="1171" t="s">
        <v>1606</v>
      </c>
      <c r="G278" s="1171" t="s">
        <v>274</v>
      </c>
      <c r="H278" s="1171" t="s">
        <v>345</v>
      </c>
      <c r="I278" s="1171" t="s">
        <v>346</v>
      </c>
      <c r="J278" s="314"/>
    </row>
    <row r="279" spans="2:10" ht="13">
      <c r="B279" s="1180" t="s">
        <v>1618</v>
      </c>
      <c r="E279" s="1171" t="s">
        <v>59</v>
      </c>
      <c r="F279" s="1174" t="s">
        <v>1607</v>
      </c>
      <c r="G279" s="1171" t="s">
        <v>347</v>
      </c>
      <c r="H279" s="1171" t="s">
        <v>347</v>
      </c>
      <c r="I279" s="1171" t="s">
        <v>347</v>
      </c>
      <c r="J279" s="1171" t="s">
        <v>351</v>
      </c>
    </row>
    <row r="280" spans="2:10" ht="50">
      <c r="B280" s="1189" t="s">
        <v>1619</v>
      </c>
      <c r="C280" s="1211"/>
      <c r="D280" s="1213"/>
      <c r="E280" s="1190">
        <f>SUM(F280:I280)</f>
        <v>-1416631</v>
      </c>
      <c r="F280" s="1190"/>
      <c r="G280" s="1190"/>
      <c r="H280" s="1190">
        <v>-1416631</v>
      </c>
      <c r="I280" s="1190"/>
      <c r="J280" s="1244" t="s">
        <v>2161</v>
      </c>
    </row>
    <row r="281" spans="2:10">
      <c r="B281" s="1189"/>
      <c r="C281" s="1211"/>
      <c r="D281" s="1213"/>
      <c r="E281" s="1190"/>
      <c r="F281" s="1190"/>
      <c r="G281" s="1190"/>
      <c r="H281" s="1190"/>
      <c r="I281" s="1190"/>
      <c r="J281" s="1244"/>
    </row>
    <row r="282" spans="2:10">
      <c r="B282" s="1189"/>
      <c r="C282" s="1211"/>
      <c r="D282" s="1213"/>
      <c r="E282" s="1190"/>
      <c r="F282" s="1190"/>
      <c r="G282" s="1190"/>
      <c r="H282" s="1190"/>
      <c r="I282" s="1190"/>
      <c r="J282" s="1244"/>
    </row>
    <row r="283" spans="2:10">
      <c r="B283" s="1189"/>
      <c r="C283" s="1211"/>
      <c r="D283" s="1213"/>
      <c r="E283" s="1190"/>
      <c r="F283" s="1190"/>
      <c r="G283" s="1190"/>
      <c r="H283" s="1190"/>
      <c r="I283" s="1190"/>
      <c r="J283" s="1244"/>
    </row>
    <row r="284" spans="2:10">
      <c r="B284" s="1189"/>
      <c r="C284" s="1211"/>
      <c r="D284" s="1213"/>
      <c r="E284" s="1190"/>
      <c r="F284" s="1190"/>
      <c r="G284" s="1190"/>
      <c r="H284" s="1190"/>
      <c r="I284" s="1190"/>
      <c r="J284" s="1244"/>
    </row>
    <row r="285" spans="2:10">
      <c r="B285" s="1189"/>
      <c r="C285" s="1211"/>
      <c r="D285" s="1213"/>
      <c r="E285" s="1190"/>
      <c r="F285" s="1190"/>
      <c r="G285" s="1190"/>
      <c r="H285" s="1190"/>
      <c r="I285" s="1190"/>
      <c r="J285" s="1244"/>
    </row>
    <row r="286" spans="2:10">
      <c r="B286" s="1189"/>
      <c r="C286" s="1211"/>
      <c r="D286" s="1213"/>
      <c r="E286" s="1190"/>
      <c r="F286" s="1190"/>
      <c r="G286" s="1190"/>
      <c r="H286" s="1190"/>
      <c r="I286" s="1190"/>
      <c r="J286" s="1244"/>
    </row>
    <row r="287" spans="2:10" ht="13">
      <c r="B287" s="1197" t="s">
        <v>1620</v>
      </c>
      <c r="C287" s="1220"/>
      <c r="D287" s="1194"/>
      <c r="E287" s="1195">
        <f>SUM(E280:E286)</f>
        <v>-1416631</v>
      </c>
      <c r="F287" s="1195">
        <f>SUM(F280:F286)</f>
        <v>0</v>
      </c>
      <c r="G287" s="1195">
        <f>SUM(G280:G286)</f>
        <v>0</v>
      </c>
      <c r="H287" s="1195">
        <f>SUM(H280:H286)</f>
        <v>-1416631</v>
      </c>
      <c r="I287" s="1195">
        <f>SUM(I280:I286)</f>
        <v>0</v>
      </c>
      <c r="J287" s="1196"/>
    </row>
    <row r="288" spans="2:10" ht="13">
      <c r="B288" s="1197"/>
      <c r="C288" s="1194"/>
      <c r="D288" s="1194"/>
      <c r="E288" s="1195"/>
      <c r="F288" s="1195"/>
      <c r="G288" s="1195"/>
      <c r="H288" s="1195"/>
      <c r="I288" s="1195"/>
      <c r="J288" s="1196"/>
    </row>
    <row r="289" spans="2:10">
      <c r="B289" s="1198" t="s">
        <v>1621</v>
      </c>
      <c r="C289" s="1199"/>
      <c r="D289" s="1218"/>
      <c r="E289" s="1200"/>
      <c r="F289" s="1190"/>
      <c r="G289" s="1190"/>
      <c r="H289" s="1190">
        <f>-H280</f>
        <v>1416631</v>
      </c>
      <c r="I289" s="1190"/>
      <c r="J289" s="1201"/>
    </row>
    <row r="290" spans="2:10" ht="5.15" customHeight="1">
      <c r="B290" s="1192"/>
      <c r="C290" s="1193"/>
      <c r="D290" s="1194"/>
      <c r="E290" s="1195"/>
      <c r="F290" s="1195"/>
      <c r="G290" s="1195"/>
      <c r="H290" s="1195"/>
      <c r="I290" s="1195"/>
      <c r="J290" s="1196"/>
    </row>
    <row r="291" spans="2:10" ht="13">
      <c r="B291" s="1197" t="s">
        <v>1622</v>
      </c>
      <c r="C291" s="1194"/>
      <c r="D291" s="1194"/>
      <c r="E291" s="1195">
        <f>SUM(E289:E289)+E287</f>
        <v>-1416631</v>
      </c>
      <c r="F291" s="1195">
        <f>SUM(F289:F289)+F287</f>
        <v>0</v>
      </c>
      <c r="G291" s="1195">
        <f>SUM(G289:G289)+G287</f>
        <v>0</v>
      </c>
      <c r="H291" s="1195">
        <f>SUM(H289:H289)+H287</f>
        <v>0</v>
      </c>
      <c r="I291" s="1195">
        <f>SUM(I289:I289)+I287</f>
        <v>0</v>
      </c>
      <c r="J291" s="1196"/>
    </row>
    <row r="292" spans="2:10" ht="13">
      <c r="B292" s="1246"/>
      <c r="C292" s="1204"/>
      <c r="D292" s="1204"/>
      <c r="E292" s="1205"/>
      <c r="F292" s="1195"/>
      <c r="G292" s="1195"/>
      <c r="H292" s="1195"/>
      <c r="I292" s="1195"/>
      <c r="J292" s="1207"/>
    </row>
    <row r="293" spans="2:10" ht="13">
      <c r="B293" s="1202" t="s">
        <v>350</v>
      </c>
      <c r="C293" s="1203"/>
      <c r="D293" s="1204"/>
      <c r="E293" s="1205"/>
      <c r="F293" s="1205"/>
      <c r="G293" s="1205"/>
      <c r="H293" s="1205"/>
      <c r="I293" s="1206">
        <f>$I$78</f>
        <v>0.12211713926723032</v>
      </c>
      <c r="J293" s="1207"/>
    </row>
    <row r="294" spans="2:10" ht="13">
      <c r="B294" s="1202" t="s">
        <v>297</v>
      </c>
      <c r="C294" s="1203"/>
      <c r="D294" s="1204"/>
      <c r="E294" s="1205"/>
      <c r="F294" s="1205"/>
      <c r="G294" s="1205"/>
      <c r="H294" s="1206">
        <f>$H$79</f>
        <v>0.18019919310362698</v>
      </c>
      <c r="I294" s="1205"/>
      <c r="J294" s="1207"/>
    </row>
    <row r="295" spans="2:10" ht="13">
      <c r="B295" s="1202" t="s">
        <v>1086</v>
      </c>
      <c r="C295" s="1203"/>
      <c r="D295" s="1204"/>
      <c r="E295" s="1205"/>
      <c r="F295" s="1205"/>
      <c r="G295" s="1206">
        <f>$G$80</f>
        <v>1</v>
      </c>
      <c r="H295" s="1205"/>
      <c r="I295" s="1205"/>
      <c r="J295" s="1207"/>
    </row>
    <row r="296" spans="2:10" ht="13">
      <c r="B296" s="1202" t="s">
        <v>1087</v>
      </c>
      <c r="C296" s="1203"/>
      <c r="D296" s="1204"/>
      <c r="E296" s="1205"/>
      <c r="F296" s="1206">
        <f>$F$81</f>
        <v>0</v>
      </c>
      <c r="G296" s="1205"/>
      <c r="H296" s="1205"/>
      <c r="I296" s="1205"/>
      <c r="J296" s="1207"/>
    </row>
    <row r="297" spans="2:10" ht="13">
      <c r="B297" s="1203" t="s">
        <v>1623</v>
      </c>
      <c r="C297" s="1203"/>
      <c r="D297" s="1204"/>
      <c r="E297" s="1205">
        <f>F297+G297+H297+I297</f>
        <v>0</v>
      </c>
      <c r="F297" s="1205">
        <f>F296*F291</f>
        <v>0</v>
      </c>
      <c r="G297" s="1205">
        <f>G291*G295</f>
        <v>0</v>
      </c>
      <c r="H297" s="1205">
        <f>H291*H294</f>
        <v>0</v>
      </c>
      <c r="I297" s="1205">
        <f>I293*I291</f>
        <v>0</v>
      </c>
      <c r="J297" s="1207"/>
    </row>
    <row r="298" spans="2:10" ht="12.75" customHeight="1">
      <c r="B298" s="1241"/>
      <c r="C298" s="1243"/>
      <c r="D298" s="1243"/>
      <c r="E298" s="1243"/>
      <c r="F298" s="1243"/>
      <c r="G298" s="1243"/>
      <c r="H298" s="1243"/>
      <c r="I298" s="1243"/>
      <c r="J298" s="1243"/>
    </row>
    <row r="299" spans="2:10" ht="12.75" customHeight="1">
      <c r="B299" s="1241"/>
      <c r="C299" s="1243"/>
      <c r="D299" s="1243"/>
      <c r="E299" s="1243"/>
      <c r="F299" s="1243"/>
      <c r="G299" s="1243"/>
      <c r="H299" s="1243"/>
      <c r="I299" s="1243"/>
      <c r="J299" s="1243"/>
    </row>
    <row r="300" spans="2:10" ht="13">
      <c r="B300" s="1171" t="s">
        <v>216</v>
      </c>
      <c r="C300" s="314"/>
      <c r="D300" s="314"/>
      <c r="E300" s="1171" t="s">
        <v>217</v>
      </c>
      <c r="F300" s="1171" t="s">
        <v>1318</v>
      </c>
      <c r="G300" s="1171" t="s">
        <v>1566</v>
      </c>
      <c r="H300" s="1171" t="s">
        <v>1567</v>
      </c>
      <c r="I300" s="1171" t="s">
        <v>1568</v>
      </c>
      <c r="J300" s="1171" t="s">
        <v>1569</v>
      </c>
    </row>
    <row r="301" spans="2:10" ht="13">
      <c r="B301" s="1180"/>
      <c r="C301" s="314"/>
      <c r="D301" s="314"/>
      <c r="E301" s="1171"/>
      <c r="F301" s="1171" t="s">
        <v>1605</v>
      </c>
      <c r="G301" s="1171" t="s">
        <v>344</v>
      </c>
      <c r="H301" s="1171"/>
      <c r="I301" s="1171"/>
      <c r="J301" s="314"/>
    </row>
    <row r="302" spans="2:10" ht="13">
      <c r="B302" s="1225"/>
      <c r="C302" s="314"/>
      <c r="D302" s="314"/>
      <c r="E302" s="1171"/>
      <c r="F302" s="1171" t="s">
        <v>1606</v>
      </c>
      <c r="G302" s="1171" t="s">
        <v>274</v>
      </c>
      <c r="H302" s="1171" t="s">
        <v>345</v>
      </c>
      <c r="I302" s="1171" t="s">
        <v>346</v>
      </c>
      <c r="J302" s="314"/>
    </row>
    <row r="303" spans="2:10" ht="13">
      <c r="B303" s="1180" t="s">
        <v>1456</v>
      </c>
      <c r="E303" s="1171" t="s">
        <v>59</v>
      </c>
      <c r="F303" s="1174" t="s">
        <v>1607</v>
      </c>
      <c r="G303" s="1171" t="s">
        <v>347</v>
      </c>
      <c r="H303" s="1171" t="s">
        <v>347</v>
      </c>
      <c r="I303" s="1171" t="s">
        <v>347</v>
      </c>
      <c r="J303" s="1171" t="s">
        <v>351</v>
      </c>
    </row>
    <row r="304" spans="2:10" ht="50">
      <c r="B304" s="1189" t="s">
        <v>1456</v>
      </c>
      <c r="C304" s="1211"/>
      <c r="D304" s="1213"/>
      <c r="E304" s="1190">
        <f>SUM(F304:I304)</f>
        <v>126283</v>
      </c>
      <c r="F304" s="1190">
        <v>0</v>
      </c>
      <c r="G304" s="1190">
        <v>0</v>
      </c>
      <c r="H304" s="1190">
        <v>126283</v>
      </c>
      <c r="I304" s="1190">
        <v>0</v>
      </c>
      <c r="J304" s="1244" t="s">
        <v>2161</v>
      </c>
    </row>
    <row r="305" spans="1:10">
      <c r="B305" s="1189"/>
      <c r="C305" s="1211"/>
      <c r="D305" s="1213"/>
      <c r="E305" s="1190"/>
      <c r="F305" s="1190"/>
      <c r="G305" s="1190"/>
      <c r="H305" s="1190"/>
      <c r="I305" s="1190"/>
      <c r="J305" s="1244"/>
    </row>
    <row r="306" spans="1:10">
      <c r="B306" s="1189"/>
      <c r="C306" s="1211"/>
      <c r="D306" s="1213"/>
      <c r="E306" s="1190"/>
      <c r="F306" s="1190"/>
      <c r="G306" s="1190"/>
      <c r="H306" s="1190"/>
      <c r="I306" s="1190"/>
      <c r="J306" s="1244"/>
    </row>
    <row r="307" spans="1:10">
      <c r="B307" s="1189"/>
      <c r="C307" s="1211"/>
      <c r="D307" s="1213"/>
      <c r="E307" s="1190"/>
      <c r="F307" s="1190"/>
      <c r="G307" s="1190"/>
      <c r="H307" s="1190"/>
      <c r="I307" s="1190"/>
      <c r="J307" s="1244"/>
    </row>
    <row r="308" spans="1:10">
      <c r="B308" s="1189"/>
      <c r="C308" s="1211"/>
      <c r="D308" s="1213"/>
      <c r="E308" s="1190"/>
      <c r="F308" s="1190"/>
      <c r="G308" s="1190"/>
      <c r="H308" s="1190"/>
      <c r="I308" s="1190"/>
      <c r="J308" s="1244"/>
    </row>
    <row r="309" spans="1:10">
      <c r="B309" s="1189"/>
      <c r="C309" s="1211"/>
      <c r="D309" s="1213"/>
      <c r="E309" s="1190"/>
      <c r="F309" s="1190"/>
      <c r="G309" s="1190"/>
      <c r="H309" s="1190"/>
      <c r="I309" s="1190"/>
      <c r="J309" s="1244"/>
    </row>
    <row r="310" spans="1:10">
      <c r="B310" s="1189"/>
      <c r="C310" s="1211"/>
      <c r="D310" s="1213"/>
      <c r="E310" s="1190"/>
      <c r="F310" s="1190"/>
      <c r="G310" s="1190"/>
      <c r="H310" s="1190"/>
      <c r="I310" s="1190"/>
      <c r="J310" s="1244"/>
    </row>
    <row r="311" spans="1:10" ht="13">
      <c r="B311" s="1197" t="s">
        <v>1624</v>
      </c>
      <c r="C311" s="1247"/>
      <c r="D311" s="1194"/>
      <c r="E311" s="1195">
        <f>SUM(E304:E310)</f>
        <v>126283</v>
      </c>
      <c r="F311" s="1195">
        <f>SUM(F304:F310)</f>
        <v>0</v>
      </c>
      <c r="G311" s="1195">
        <f>SUM(G304:G310)</f>
        <v>0</v>
      </c>
      <c r="H311" s="1195">
        <f>SUM(H304:H310)</f>
        <v>126283</v>
      </c>
      <c r="I311" s="1195">
        <f>SUM(I304:I310)</f>
        <v>0</v>
      </c>
      <c r="J311" s="1196"/>
    </row>
    <row r="312" spans="1:10" ht="13">
      <c r="B312" s="1221"/>
      <c r="C312" s="1222"/>
      <c r="D312" s="1222"/>
      <c r="E312" s="1205"/>
      <c r="F312" s="1195"/>
      <c r="G312" s="1195"/>
      <c r="H312" s="1195"/>
      <c r="I312" s="1195"/>
      <c r="J312" s="1207"/>
    </row>
    <row r="313" spans="1:10" ht="13">
      <c r="B313" s="1223" t="s">
        <v>350</v>
      </c>
      <c r="C313" s="1224"/>
      <c r="D313" s="1204"/>
      <c r="E313" s="1205"/>
      <c r="F313" s="1205"/>
      <c r="G313" s="1205"/>
      <c r="H313" s="1205"/>
      <c r="I313" s="1206">
        <f>$I$78</f>
        <v>0.12211713926723032</v>
      </c>
      <c r="J313" s="1207"/>
    </row>
    <row r="314" spans="1:10" ht="13">
      <c r="B314" s="1202" t="s">
        <v>297</v>
      </c>
      <c r="C314" s="1203"/>
      <c r="D314" s="1204"/>
      <c r="E314" s="1205"/>
      <c r="F314" s="1205"/>
      <c r="G314" s="1205"/>
      <c r="H314" s="1206">
        <f>$H$79</f>
        <v>0.18019919310362698</v>
      </c>
      <c r="I314" s="1205"/>
      <c r="J314" s="1207"/>
    </row>
    <row r="315" spans="1:10" ht="13">
      <c r="B315" s="1202" t="s">
        <v>1086</v>
      </c>
      <c r="C315" s="1203"/>
      <c r="D315" s="1204"/>
      <c r="E315" s="1205"/>
      <c r="F315" s="1205"/>
      <c r="G315" s="1206">
        <f>$G$80</f>
        <v>1</v>
      </c>
      <c r="H315" s="1205"/>
      <c r="I315" s="1205"/>
      <c r="J315" s="1207"/>
    </row>
    <row r="316" spans="1:10" ht="13">
      <c r="B316" s="1202" t="s">
        <v>1087</v>
      </c>
      <c r="C316" s="1203"/>
      <c r="D316" s="1204"/>
      <c r="E316" s="1205"/>
      <c r="F316" s="1206">
        <f>$F$81</f>
        <v>0</v>
      </c>
      <c r="G316" s="1205"/>
      <c r="H316" s="1205"/>
      <c r="I316" s="1205"/>
      <c r="J316" s="1207"/>
    </row>
    <row r="317" spans="1:10" ht="13">
      <c r="B317" s="1208" t="s">
        <v>1625</v>
      </c>
      <c r="C317" s="1203"/>
      <c r="D317" s="1204"/>
      <c r="E317" s="1205">
        <f>F317+G317+H317+I317</f>
        <v>22756.094702705326</v>
      </c>
      <c r="F317" s="1205">
        <f>F316*F311</f>
        <v>0</v>
      </c>
      <c r="G317" s="1205">
        <f>G311*G315</f>
        <v>0</v>
      </c>
      <c r="H317" s="1205">
        <f>H311*H314</f>
        <v>22756.094702705326</v>
      </c>
      <c r="I317" s="1205">
        <f>I313*I311</f>
        <v>0</v>
      </c>
      <c r="J317" s="1207"/>
    </row>
    <row r="318" spans="1:10">
      <c r="G318" s="1182"/>
    </row>
    <row r="320" spans="1:10" s="1053" customFormat="1" ht="15.5">
      <c r="A320" s="1248" t="s">
        <v>597</v>
      </c>
      <c r="B320" s="1249"/>
      <c r="C320" s="1249"/>
      <c r="D320" s="169"/>
      <c r="E320" s="169"/>
      <c r="F320" s="563"/>
      <c r="G320" s="169"/>
      <c r="H320" s="169"/>
      <c r="I320" s="169"/>
      <c r="J320" s="169"/>
    </row>
  </sheetData>
  <mergeCells count="12">
    <mergeCell ref="B270:I271"/>
    <mergeCell ref="A1:K1"/>
    <mergeCell ref="A2:K2"/>
    <mergeCell ref="A3:K3"/>
    <mergeCell ref="B6:J6"/>
    <mergeCell ref="B24:I26"/>
    <mergeCell ref="B29:I31"/>
    <mergeCell ref="B122:I122"/>
    <mergeCell ref="B126:I127"/>
    <mergeCell ref="B192:I192"/>
    <mergeCell ref="B196:I197"/>
    <mergeCell ref="B266:I266"/>
  </mergeCells>
  <pageMargins left="0.25" right="0.25" top="0.75" bottom="0.75" header="0.3" footer="0.3"/>
  <pageSetup scale="42" fitToHeight="0" orientation="landscape" r:id="rId1"/>
  <rowBreaks count="4" manualBreakCount="4">
    <brk id="32" max="16383" man="1"/>
    <brk id="111" max="10" man="1"/>
    <brk id="201" max="16383" man="1"/>
    <brk id="2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C6F2-372B-48AE-8525-FE2520CB8925}">
  <dimension ref="A1:S267"/>
  <sheetViews>
    <sheetView view="pageBreakPreview" topLeftCell="A208" zoomScale="60" zoomScaleNormal="80" workbookViewId="0">
      <selection sqref="A1:XFD1048576"/>
    </sheetView>
  </sheetViews>
  <sheetFormatPr defaultColWidth="9.1796875" defaultRowHeight="12.5"/>
  <cols>
    <col min="1" max="1" width="5.7265625" style="945" customWidth="1"/>
    <col min="2" max="2" width="11" style="1131" customWidth="1"/>
    <col min="3" max="3" width="5.7265625" style="945" customWidth="1"/>
    <col min="4" max="4" width="32.1796875" style="945" customWidth="1"/>
    <col min="5" max="5" width="14.453125" style="945" customWidth="1"/>
    <col min="6" max="6" width="21.81640625" style="945" customWidth="1"/>
    <col min="7" max="7" width="15.1796875" style="945" customWidth="1"/>
    <col min="8" max="8" width="20.81640625" style="945" bestFit="1" customWidth="1"/>
    <col min="9" max="9" width="3.81640625" style="945" customWidth="1"/>
    <col min="10" max="10" width="27.453125" style="945" customWidth="1"/>
    <col min="11" max="11" width="21.81640625" style="945" customWidth="1"/>
    <col min="12" max="12" width="25.1796875" style="945" customWidth="1"/>
    <col min="13" max="13" width="3.81640625" style="945" customWidth="1"/>
    <col min="14" max="14" width="19.7265625" style="945" customWidth="1"/>
    <col min="15" max="15" width="25.453125" style="945" customWidth="1"/>
    <col min="16" max="16" width="24.7265625" style="945" customWidth="1"/>
    <col min="17" max="17" width="25" style="945" customWidth="1"/>
    <col min="18" max="18" width="26.54296875" style="945" customWidth="1"/>
    <col min="19" max="19" width="3.81640625" style="945" customWidth="1"/>
    <col min="20" max="16384" width="9.1796875" style="945"/>
  </cols>
  <sheetData>
    <row r="1" spans="1:19" ht="15.5">
      <c r="A1" s="1839" t="s">
        <v>343</v>
      </c>
      <c r="B1" s="1839"/>
      <c r="C1" s="1839"/>
      <c r="D1" s="1839"/>
      <c r="E1" s="1839"/>
      <c r="F1" s="1839"/>
      <c r="G1" s="1839"/>
      <c r="H1" s="1839"/>
      <c r="I1" s="1839"/>
      <c r="J1" s="1839"/>
      <c r="K1" s="1839"/>
      <c r="L1" s="1839"/>
      <c r="M1" s="1839"/>
      <c r="N1" s="1839"/>
      <c r="O1" s="1839"/>
      <c r="P1" s="1839"/>
      <c r="Q1" s="1839"/>
      <c r="R1" s="1839"/>
      <c r="S1" s="1128"/>
    </row>
    <row r="2" spans="1:19" ht="15.5">
      <c r="A2" s="1839" t="s">
        <v>1626</v>
      </c>
      <c r="B2" s="1839"/>
      <c r="C2" s="1839"/>
      <c r="D2" s="1839"/>
      <c r="E2" s="1839"/>
      <c r="F2" s="1839"/>
      <c r="G2" s="1839"/>
      <c r="H2" s="1839"/>
      <c r="I2" s="1839"/>
      <c r="J2" s="1839"/>
      <c r="K2" s="1839"/>
      <c r="L2" s="1839"/>
      <c r="M2" s="1839"/>
      <c r="N2" s="1839"/>
      <c r="O2" s="1839"/>
      <c r="P2" s="1839"/>
      <c r="Q2" s="1839"/>
      <c r="R2" s="1839"/>
      <c r="S2" s="1128"/>
    </row>
    <row r="3" spans="1:19" ht="15.5">
      <c r="A3" s="1839" t="s">
        <v>1627</v>
      </c>
      <c r="B3" s="1839"/>
      <c r="C3" s="1839"/>
      <c r="D3" s="1839"/>
      <c r="E3" s="1839"/>
      <c r="F3" s="1839"/>
      <c r="G3" s="1839"/>
      <c r="H3" s="1839"/>
      <c r="I3" s="1839"/>
      <c r="J3" s="1839"/>
      <c r="K3" s="1839"/>
      <c r="L3" s="1839"/>
      <c r="M3" s="1839"/>
      <c r="N3" s="1839"/>
      <c r="O3" s="1839"/>
      <c r="P3" s="1839"/>
      <c r="Q3" s="1839"/>
      <c r="R3" s="1839"/>
      <c r="S3" s="1128"/>
    </row>
    <row r="4" spans="1:19" ht="15.5">
      <c r="A4" s="881"/>
      <c r="B4" s="1358"/>
      <c r="C4" s="881"/>
      <c r="D4" s="880"/>
      <c r="E4" s="880"/>
      <c r="F4" s="880"/>
      <c r="G4" s="880"/>
      <c r="H4" s="880"/>
      <c r="I4" s="880"/>
      <c r="J4" s="880"/>
      <c r="K4" s="880"/>
      <c r="L4" s="880"/>
      <c r="M4" s="880"/>
      <c r="N4" s="880"/>
      <c r="O4" s="880"/>
      <c r="P4" s="880"/>
      <c r="Q4" s="880"/>
      <c r="R4" s="880"/>
    </row>
    <row r="5" spans="1:19" ht="15.5">
      <c r="A5" s="880"/>
      <c r="B5" s="1130"/>
      <c r="C5" s="880"/>
      <c r="D5" s="880" t="s">
        <v>1063</v>
      </c>
      <c r="E5" s="882" t="s">
        <v>2149</v>
      </c>
      <c r="F5" s="883"/>
      <c r="G5" s="883"/>
      <c r="H5" s="883"/>
      <c r="I5" s="880"/>
      <c r="J5" s="880"/>
      <c r="K5" s="880"/>
      <c r="L5" s="880"/>
      <c r="M5" s="880"/>
      <c r="N5" s="880"/>
      <c r="O5" s="880"/>
      <c r="P5" s="880"/>
      <c r="Q5" s="880"/>
      <c r="R5" s="880"/>
    </row>
    <row r="6" spans="1:19" ht="13">
      <c r="D6" s="1128"/>
    </row>
    <row r="7" spans="1:19" ht="15.75" customHeight="1">
      <c r="B7" s="1849" t="s">
        <v>1628</v>
      </c>
      <c r="C7" s="1849"/>
      <c r="D7" s="1849"/>
      <c r="E7" s="1849"/>
      <c r="F7" s="1849"/>
      <c r="G7" s="1849"/>
      <c r="H7" s="1849"/>
      <c r="I7" s="1849"/>
      <c r="J7" s="1849"/>
      <c r="K7" s="1849"/>
      <c r="L7" s="1849"/>
      <c r="M7" s="1849"/>
      <c r="N7" s="1849"/>
      <c r="O7" s="1849"/>
      <c r="P7" s="1849"/>
      <c r="Q7" s="1849"/>
      <c r="R7" s="1849"/>
    </row>
    <row r="8" spans="1:19" ht="13">
      <c r="D8" s="1128"/>
    </row>
    <row r="9" spans="1:19" ht="13">
      <c r="D9" s="1128" t="s">
        <v>1629</v>
      </c>
      <c r="J9" s="1831"/>
      <c r="K9" s="1831"/>
      <c r="L9" s="1831"/>
      <c r="N9" s="1831"/>
      <c r="O9" s="1831"/>
      <c r="P9" s="1831"/>
      <c r="Q9" s="1831"/>
      <c r="R9" s="1831"/>
    </row>
    <row r="10" spans="1:19" ht="13">
      <c r="D10" s="1832" t="s">
        <v>1065</v>
      </c>
      <c r="E10" s="1833"/>
      <c r="F10" s="1833"/>
      <c r="G10" s="1833"/>
      <c r="H10" s="1834"/>
      <c r="I10" s="1132"/>
      <c r="J10" s="1835" t="s">
        <v>1630</v>
      </c>
      <c r="K10" s="1836"/>
      <c r="L10" s="1837"/>
      <c r="M10" s="1132"/>
      <c r="N10" s="1835" t="s">
        <v>1631</v>
      </c>
      <c r="O10" s="1836"/>
      <c r="P10" s="1836"/>
      <c r="Q10" s="1836"/>
      <c r="R10" s="1837"/>
      <c r="S10" s="1132"/>
    </row>
    <row r="11" spans="1:19" ht="13">
      <c r="D11" s="1133" t="s">
        <v>216</v>
      </c>
      <c r="E11" s="1133" t="s">
        <v>217</v>
      </c>
      <c r="F11" s="1133" t="s">
        <v>1565</v>
      </c>
      <c r="G11" s="1133" t="s">
        <v>1566</v>
      </c>
      <c r="H11" s="1133" t="s">
        <v>1567</v>
      </c>
      <c r="I11" s="1132"/>
      <c r="J11" s="1133" t="s">
        <v>1568</v>
      </c>
      <c r="K11" s="1133" t="s">
        <v>1569</v>
      </c>
      <c r="L11" s="1133" t="s">
        <v>1570</v>
      </c>
      <c r="M11" s="1132"/>
      <c r="N11" s="1133" t="s">
        <v>1571</v>
      </c>
      <c r="O11" s="1133" t="s">
        <v>1572</v>
      </c>
      <c r="P11" s="1133" t="s">
        <v>1573</v>
      </c>
      <c r="Q11" s="1133" t="s">
        <v>1574</v>
      </c>
      <c r="R11" s="1133" t="s">
        <v>1575</v>
      </c>
      <c r="S11" s="1132"/>
    </row>
    <row r="12" spans="1:19" ht="63" customHeight="1">
      <c r="B12" s="1134" t="s">
        <v>1576</v>
      </c>
      <c r="D12" s="1135" t="s">
        <v>211</v>
      </c>
      <c r="E12" s="1135" t="s">
        <v>1066</v>
      </c>
      <c r="F12" s="1135" t="s">
        <v>1160</v>
      </c>
      <c r="G12" s="1135" t="s">
        <v>1159</v>
      </c>
      <c r="H12" s="1135" t="s">
        <v>1577</v>
      </c>
      <c r="I12" s="1361"/>
      <c r="J12" s="1135" t="s">
        <v>1069</v>
      </c>
      <c r="K12" s="1135" t="s">
        <v>1578</v>
      </c>
      <c r="L12" s="1135" t="s">
        <v>1579</v>
      </c>
      <c r="M12" s="1361"/>
      <c r="N12" s="1135" t="s">
        <v>1158</v>
      </c>
      <c r="O12" s="1135" t="s">
        <v>1580</v>
      </c>
      <c r="P12" s="1135" t="s">
        <v>1581</v>
      </c>
      <c r="Q12" s="1135" t="s">
        <v>1582</v>
      </c>
      <c r="R12" s="1135" t="s">
        <v>1583</v>
      </c>
      <c r="S12" s="1361"/>
    </row>
    <row r="13" spans="1:19">
      <c r="E13" s="1361"/>
      <c r="F13" s="1361"/>
      <c r="G13" s="1361"/>
      <c r="H13" s="1361"/>
      <c r="I13" s="1361"/>
      <c r="J13" s="1361"/>
      <c r="K13" s="1361"/>
      <c r="L13" s="1361"/>
      <c r="M13" s="1361"/>
      <c r="N13" s="1361"/>
      <c r="O13" s="1361"/>
      <c r="P13" s="1361"/>
      <c r="Q13" s="1361"/>
      <c r="R13" s="1361"/>
      <c r="S13" s="1361"/>
    </row>
    <row r="14" spans="1:19">
      <c r="B14" s="1131">
        <v>1</v>
      </c>
      <c r="D14" s="945" t="s">
        <v>1632</v>
      </c>
      <c r="E14" s="1361"/>
      <c r="F14" s="1361"/>
      <c r="G14" s="1361"/>
      <c r="H14" s="1361"/>
      <c r="I14" s="1361"/>
      <c r="J14" s="1136" t="s">
        <v>1957</v>
      </c>
      <c r="K14" s="1361"/>
      <c r="L14" s="1136">
        <f>'1E - ADIT Amortization'!$M$34</f>
        <v>1000863.0827697578</v>
      </c>
      <c r="M14" s="1361"/>
      <c r="N14" s="1136" t="s">
        <v>1957</v>
      </c>
      <c r="O14" s="1361"/>
      <c r="P14" s="1361"/>
      <c r="Q14" s="1361"/>
      <c r="R14" s="1136">
        <f>'1E - ADIT Amortization'!$M$34</f>
        <v>1000863.0827697578</v>
      </c>
      <c r="S14" s="1361"/>
    </row>
    <row r="15" spans="1:19">
      <c r="E15" s="1361"/>
      <c r="F15" s="1361"/>
      <c r="G15" s="1361"/>
      <c r="H15" s="1361"/>
      <c r="I15" s="1361"/>
      <c r="J15" s="1361"/>
      <c r="K15" s="1361"/>
      <c r="L15" s="1361"/>
      <c r="M15" s="1361"/>
      <c r="N15" s="1361"/>
      <c r="O15" s="1361"/>
      <c r="P15" s="1361"/>
      <c r="Q15" s="1361"/>
      <c r="R15" s="1361"/>
      <c r="S15" s="1361"/>
    </row>
    <row r="16" spans="1:19">
      <c r="B16" s="1131">
        <f>B14+1</f>
        <v>2</v>
      </c>
      <c r="D16" s="1137" t="s">
        <v>634</v>
      </c>
      <c r="E16" s="1136">
        <v>31</v>
      </c>
      <c r="F16" s="1138">
        <v>0</v>
      </c>
      <c r="G16" s="1138">
        <v>214</v>
      </c>
      <c r="H16" s="1139">
        <f t="shared" ref="H16:H27" si="0">IF(F16=0,0.5,F16/G16)</f>
        <v>0.5</v>
      </c>
      <c r="I16" s="1140"/>
      <c r="J16" s="1136">
        <v>0</v>
      </c>
      <c r="K16" s="1141">
        <f t="shared" ref="K16:K27" si="1">+J16*H16</f>
        <v>0</v>
      </c>
      <c r="L16" s="1141">
        <f>+K16+L14</f>
        <v>1000863.0827697578</v>
      </c>
      <c r="M16" s="1140"/>
      <c r="N16" s="1136">
        <v>0</v>
      </c>
      <c r="O16" s="1141">
        <f>IF($D$237="True-Up Adjustment",N16-J16,0)</f>
        <v>0</v>
      </c>
      <c r="P16" s="1141">
        <f>IF($D$237="True-Up Adjustment",IF(AND(J16&gt;=0,N16&gt;=0),IF(O16&gt;=0,K16+O16,N16/J16*K16),IF(AND(J16&lt;0,N16&lt;0),IF(O16&lt;0,K16+O16,N16/J16*K16),0)),0)</f>
        <v>0</v>
      </c>
      <c r="Q16" s="1141">
        <f t="shared" ref="Q16:Q27" si="2">IF(AND(J16&gt;=0,N16&lt;0),N16,IF(AND(J16&lt;0,N16&gt;=0),N16,0))</f>
        <v>0</v>
      </c>
      <c r="R16" s="1141">
        <f>+Q16+R14</f>
        <v>1000863.0827697578</v>
      </c>
      <c r="S16" s="1140"/>
    </row>
    <row r="17" spans="2:19">
      <c r="B17" s="1131">
        <f t="shared" ref="B17:B28" si="3">+B16+1</f>
        <v>3</v>
      </c>
      <c r="D17" s="1137" t="s">
        <v>635</v>
      </c>
      <c r="E17" s="1136">
        <v>28</v>
      </c>
      <c r="F17" s="1138">
        <v>0</v>
      </c>
      <c r="G17" s="1138">
        <f t="shared" ref="G17:G27" si="4">G16</f>
        <v>214</v>
      </c>
      <c r="H17" s="1139">
        <f t="shared" si="0"/>
        <v>0.5</v>
      </c>
      <c r="I17" s="1140"/>
      <c r="J17" s="1136">
        <v>0</v>
      </c>
      <c r="K17" s="1141">
        <f t="shared" si="1"/>
        <v>0</v>
      </c>
      <c r="L17" s="1141">
        <f t="shared" ref="L17:L27" si="5">+K17+L16</f>
        <v>1000863.0827697578</v>
      </c>
      <c r="M17" s="1140"/>
      <c r="N17" s="1136">
        <v>0</v>
      </c>
      <c r="O17" s="1141">
        <f t="shared" ref="O17:O27" si="6">IF($D$237="True-Up Adjustment",N17-J17,0)</f>
        <v>0</v>
      </c>
      <c r="P17" s="1141">
        <f t="shared" ref="P17:P27" si="7">IF($D$237="True-Up Adjustment",IF(AND(J17&gt;=0,N17&gt;=0),IF(O17&gt;=0,K17+O17,N17/J17*K17),IF(AND(J17&lt;0,N17&lt;0),IF(O17&lt;0,K17+O17,N17/J17*K17),0)),0)</f>
        <v>0</v>
      </c>
      <c r="Q17" s="1141">
        <f t="shared" si="2"/>
        <v>0</v>
      </c>
      <c r="R17" s="1141">
        <f t="shared" ref="R17:R27" si="8">R16+P17+Q17</f>
        <v>1000863.0827697578</v>
      </c>
      <c r="S17" s="1140"/>
    </row>
    <row r="18" spans="2:19">
      <c r="B18" s="1131">
        <f t="shared" si="3"/>
        <v>4</v>
      </c>
      <c r="D18" s="1137" t="s">
        <v>662</v>
      </c>
      <c r="E18" s="1136">
        <v>31</v>
      </c>
      <c r="F18" s="1138">
        <v>0</v>
      </c>
      <c r="G18" s="1138">
        <f t="shared" si="4"/>
        <v>214</v>
      </c>
      <c r="H18" s="1139">
        <f t="shared" si="0"/>
        <v>0.5</v>
      </c>
      <c r="I18" s="1140"/>
      <c r="J18" s="1136">
        <v>0</v>
      </c>
      <c r="K18" s="1141">
        <f t="shared" si="1"/>
        <v>0</v>
      </c>
      <c r="L18" s="1141">
        <f t="shared" si="5"/>
        <v>1000863.0827697578</v>
      </c>
      <c r="M18" s="1140"/>
      <c r="N18" s="1136">
        <v>0</v>
      </c>
      <c r="O18" s="1141">
        <f t="shared" si="6"/>
        <v>0</v>
      </c>
      <c r="P18" s="1141">
        <f t="shared" si="7"/>
        <v>0</v>
      </c>
      <c r="Q18" s="1141">
        <f t="shared" si="2"/>
        <v>0</v>
      </c>
      <c r="R18" s="1141">
        <f t="shared" si="8"/>
        <v>1000863.0827697578</v>
      </c>
      <c r="S18" s="1140"/>
    </row>
    <row r="19" spans="2:19">
      <c r="B19" s="1131">
        <f t="shared" si="3"/>
        <v>5</v>
      </c>
      <c r="D19" s="1137" t="s">
        <v>213</v>
      </c>
      <c r="E19" s="1136">
        <v>30</v>
      </c>
      <c r="F19" s="1138">
        <v>0</v>
      </c>
      <c r="G19" s="1138">
        <f t="shared" si="4"/>
        <v>214</v>
      </c>
      <c r="H19" s="1139">
        <f t="shared" si="0"/>
        <v>0.5</v>
      </c>
      <c r="I19" s="1140"/>
      <c r="J19" s="1136">
        <v>0</v>
      </c>
      <c r="K19" s="1141">
        <f t="shared" si="1"/>
        <v>0</v>
      </c>
      <c r="L19" s="1141">
        <f t="shared" si="5"/>
        <v>1000863.0827697578</v>
      </c>
      <c r="M19" s="1140"/>
      <c r="N19" s="1136">
        <v>0</v>
      </c>
      <c r="O19" s="1141">
        <f t="shared" si="6"/>
        <v>0</v>
      </c>
      <c r="P19" s="1141">
        <f t="shared" si="7"/>
        <v>0</v>
      </c>
      <c r="Q19" s="1141">
        <f t="shared" si="2"/>
        <v>0</v>
      </c>
      <c r="R19" s="1141">
        <f t="shared" si="8"/>
        <v>1000863.0827697578</v>
      </c>
      <c r="S19" s="1140"/>
    </row>
    <row r="20" spans="2:19">
      <c r="B20" s="1131">
        <f t="shared" si="3"/>
        <v>6</v>
      </c>
      <c r="D20" s="1137" t="s">
        <v>214</v>
      </c>
      <c r="E20" s="1136">
        <v>31</v>
      </c>
      <c r="F20" s="1138">
        <v>0</v>
      </c>
      <c r="G20" s="1138">
        <f t="shared" si="4"/>
        <v>214</v>
      </c>
      <c r="H20" s="1139">
        <f t="shared" si="0"/>
        <v>0.5</v>
      </c>
      <c r="I20" s="1140"/>
      <c r="J20" s="1136">
        <v>0</v>
      </c>
      <c r="K20" s="1141">
        <f t="shared" si="1"/>
        <v>0</v>
      </c>
      <c r="L20" s="1141">
        <f t="shared" si="5"/>
        <v>1000863.0827697578</v>
      </c>
      <c r="M20" s="1140"/>
      <c r="N20" s="1136">
        <v>0</v>
      </c>
      <c r="O20" s="1141">
        <f t="shared" si="6"/>
        <v>0</v>
      </c>
      <c r="P20" s="1141">
        <f t="shared" si="7"/>
        <v>0</v>
      </c>
      <c r="Q20" s="1141">
        <f t="shared" si="2"/>
        <v>0</v>
      </c>
      <c r="R20" s="1141">
        <f t="shared" si="8"/>
        <v>1000863.0827697578</v>
      </c>
      <c r="S20" s="1140"/>
    </row>
    <row r="21" spans="2:19">
      <c r="B21" s="1131">
        <f t="shared" si="3"/>
        <v>7</v>
      </c>
      <c r="D21" s="1137" t="s">
        <v>215</v>
      </c>
      <c r="E21" s="1136">
        <v>30</v>
      </c>
      <c r="F21" s="1138">
        <f t="shared" ref="F21:F26" si="9">E22+F22</f>
        <v>185</v>
      </c>
      <c r="G21" s="1138">
        <f t="shared" si="4"/>
        <v>214</v>
      </c>
      <c r="H21" s="1139">
        <f t="shared" si="0"/>
        <v>0.86448598130841126</v>
      </c>
      <c r="I21" s="1140"/>
      <c r="J21" s="1136">
        <v>0</v>
      </c>
      <c r="K21" s="1141">
        <f t="shared" si="1"/>
        <v>0</v>
      </c>
      <c r="L21" s="1141">
        <f t="shared" si="5"/>
        <v>1000863.0827697578</v>
      </c>
      <c r="M21" s="1140"/>
      <c r="N21" s="1136">
        <v>0</v>
      </c>
      <c r="O21" s="1141">
        <f t="shared" si="6"/>
        <v>0</v>
      </c>
      <c r="P21" s="1141">
        <f t="shared" si="7"/>
        <v>0</v>
      </c>
      <c r="Q21" s="1141">
        <f t="shared" si="2"/>
        <v>0</v>
      </c>
      <c r="R21" s="1141">
        <f t="shared" si="8"/>
        <v>1000863.0827697578</v>
      </c>
      <c r="S21" s="1140"/>
    </row>
    <row r="22" spans="2:19">
      <c r="B22" s="1131">
        <f t="shared" si="3"/>
        <v>8</v>
      </c>
      <c r="D22" s="1137" t="s">
        <v>637</v>
      </c>
      <c r="E22" s="1136">
        <v>31</v>
      </c>
      <c r="F22" s="1138">
        <f t="shared" si="9"/>
        <v>154</v>
      </c>
      <c r="G22" s="1138">
        <f t="shared" si="4"/>
        <v>214</v>
      </c>
      <c r="H22" s="1139">
        <f t="shared" si="0"/>
        <v>0.71962616822429903</v>
      </c>
      <c r="I22" s="1140"/>
      <c r="J22" s="1136">
        <v>0</v>
      </c>
      <c r="K22" s="1141">
        <f t="shared" si="1"/>
        <v>0</v>
      </c>
      <c r="L22" s="1141">
        <f t="shared" si="5"/>
        <v>1000863.0827697578</v>
      </c>
      <c r="M22" s="1140"/>
      <c r="N22" s="1136">
        <v>0</v>
      </c>
      <c r="O22" s="1141">
        <f t="shared" si="6"/>
        <v>0</v>
      </c>
      <c r="P22" s="1141">
        <f t="shared" si="7"/>
        <v>0</v>
      </c>
      <c r="Q22" s="1141">
        <f t="shared" si="2"/>
        <v>0</v>
      </c>
      <c r="R22" s="1141">
        <f t="shared" si="8"/>
        <v>1000863.0827697578</v>
      </c>
      <c r="S22" s="1140"/>
    </row>
    <row r="23" spans="2:19">
      <c r="B23" s="1131">
        <f t="shared" si="3"/>
        <v>9</v>
      </c>
      <c r="D23" s="1137" t="s">
        <v>663</v>
      </c>
      <c r="E23" s="1136">
        <v>31</v>
      </c>
      <c r="F23" s="1138">
        <f t="shared" si="9"/>
        <v>123</v>
      </c>
      <c r="G23" s="1138">
        <f t="shared" si="4"/>
        <v>214</v>
      </c>
      <c r="H23" s="1139">
        <f t="shared" si="0"/>
        <v>0.57476635514018692</v>
      </c>
      <c r="I23" s="1140"/>
      <c r="J23" s="1136">
        <v>0</v>
      </c>
      <c r="K23" s="1141">
        <f t="shared" si="1"/>
        <v>0</v>
      </c>
      <c r="L23" s="1141">
        <f t="shared" si="5"/>
        <v>1000863.0827697578</v>
      </c>
      <c r="M23" s="1140"/>
      <c r="N23" s="1136">
        <v>0</v>
      </c>
      <c r="O23" s="1141">
        <f t="shared" si="6"/>
        <v>0</v>
      </c>
      <c r="P23" s="1141">
        <f t="shared" si="7"/>
        <v>0</v>
      </c>
      <c r="Q23" s="1141">
        <f t="shared" si="2"/>
        <v>0</v>
      </c>
      <c r="R23" s="1141">
        <f t="shared" si="8"/>
        <v>1000863.0827697578</v>
      </c>
      <c r="S23" s="1140"/>
    </row>
    <row r="24" spans="2:19">
      <c r="B24" s="1131">
        <f t="shared" si="3"/>
        <v>10</v>
      </c>
      <c r="D24" s="1137" t="s">
        <v>639</v>
      </c>
      <c r="E24" s="1136">
        <v>30</v>
      </c>
      <c r="F24" s="1138">
        <f t="shared" si="9"/>
        <v>93</v>
      </c>
      <c r="G24" s="1138">
        <f t="shared" si="4"/>
        <v>214</v>
      </c>
      <c r="H24" s="1139">
        <f t="shared" si="0"/>
        <v>0.43457943925233644</v>
      </c>
      <c r="I24" s="1140"/>
      <c r="J24" s="1136">
        <v>0</v>
      </c>
      <c r="K24" s="1141">
        <f>+J24*H24</f>
        <v>0</v>
      </c>
      <c r="L24" s="1141">
        <f t="shared" si="5"/>
        <v>1000863.0827697578</v>
      </c>
      <c r="M24" s="1140"/>
      <c r="N24" s="1136">
        <v>0</v>
      </c>
      <c r="O24" s="1141">
        <f t="shared" si="6"/>
        <v>0</v>
      </c>
      <c r="P24" s="1141">
        <f t="shared" si="7"/>
        <v>0</v>
      </c>
      <c r="Q24" s="1141">
        <f t="shared" si="2"/>
        <v>0</v>
      </c>
      <c r="R24" s="1141">
        <f t="shared" si="8"/>
        <v>1000863.0827697578</v>
      </c>
      <c r="S24" s="1140"/>
    </row>
    <row r="25" spans="2:19">
      <c r="B25" s="1131">
        <f t="shared" si="3"/>
        <v>11</v>
      </c>
      <c r="D25" s="1137" t="s">
        <v>640</v>
      </c>
      <c r="E25" s="1136">
        <v>31</v>
      </c>
      <c r="F25" s="1138">
        <f t="shared" si="9"/>
        <v>62</v>
      </c>
      <c r="G25" s="1138">
        <f t="shared" si="4"/>
        <v>214</v>
      </c>
      <c r="H25" s="1139">
        <f t="shared" si="0"/>
        <v>0.28971962616822428</v>
      </c>
      <c r="I25" s="1140"/>
      <c r="J25" s="1136">
        <v>0</v>
      </c>
      <c r="K25" s="1141">
        <f t="shared" si="1"/>
        <v>0</v>
      </c>
      <c r="L25" s="1141">
        <f t="shared" si="5"/>
        <v>1000863.0827697578</v>
      </c>
      <c r="M25" s="1140"/>
      <c r="N25" s="1136">
        <v>0</v>
      </c>
      <c r="O25" s="1141">
        <f t="shared" si="6"/>
        <v>0</v>
      </c>
      <c r="P25" s="1141">
        <f t="shared" si="7"/>
        <v>0</v>
      </c>
      <c r="Q25" s="1141">
        <f t="shared" si="2"/>
        <v>0</v>
      </c>
      <c r="R25" s="1141">
        <f t="shared" si="8"/>
        <v>1000863.0827697578</v>
      </c>
      <c r="S25" s="1140"/>
    </row>
    <row r="26" spans="2:19">
      <c r="B26" s="1131">
        <f t="shared" si="3"/>
        <v>12</v>
      </c>
      <c r="D26" s="1137" t="s">
        <v>641</v>
      </c>
      <c r="E26" s="1136">
        <v>30</v>
      </c>
      <c r="F26" s="1138">
        <f t="shared" si="9"/>
        <v>32</v>
      </c>
      <c r="G26" s="1138">
        <f t="shared" si="4"/>
        <v>214</v>
      </c>
      <c r="H26" s="1139">
        <f t="shared" si="0"/>
        <v>0.14953271028037382</v>
      </c>
      <c r="I26" s="1140"/>
      <c r="J26" s="1136">
        <v>0</v>
      </c>
      <c r="K26" s="1141">
        <f t="shared" si="1"/>
        <v>0</v>
      </c>
      <c r="L26" s="1141">
        <f t="shared" si="5"/>
        <v>1000863.0827697578</v>
      </c>
      <c r="M26" s="1140"/>
      <c r="N26" s="1136">
        <v>0</v>
      </c>
      <c r="O26" s="1141">
        <f t="shared" si="6"/>
        <v>0</v>
      </c>
      <c r="P26" s="1141">
        <f t="shared" si="7"/>
        <v>0</v>
      </c>
      <c r="Q26" s="1141">
        <f t="shared" si="2"/>
        <v>0</v>
      </c>
      <c r="R26" s="1141">
        <f t="shared" si="8"/>
        <v>1000863.0827697578</v>
      </c>
      <c r="S26" s="1140"/>
    </row>
    <row r="27" spans="2:19">
      <c r="B27" s="1131">
        <f t="shared" si="3"/>
        <v>13</v>
      </c>
      <c r="D27" s="1142" t="s">
        <v>895</v>
      </c>
      <c r="E27" s="1136">
        <v>31</v>
      </c>
      <c r="F27" s="1143">
        <v>1</v>
      </c>
      <c r="G27" s="1138">
        <f t="shared" si="4"/>
        <v>214</v>
      </c>
      <c r="H27" s="1139">
        <f t="shared" si="0"/>
        <v>4.6728971962616819E-3</v>
      </c>
      <c r="I27" s="1140"/>
      <c r="J27" s="1136">
        <v>0</v>
      </c>
      <c r="K27" s="1141">
        <f t="shared" si="1"/>
        <v>0</v>
      </c>
      <c r="L27" s="1141">
        <f t="shared" si="5"/>
        <v>1000863.0827697578</v>
      </c>
      <c r="M27" s="1140"/>
      <c r="N27" s="1136">
        <v>0</v>
      </c>
      <c r="O27" s="1141">
        <f t="shared" si="6"/>
        <v>0</v>
      </c>
      <c r="P27" s="1141">
        <f t="shared" si="7"/>
        <v>0</v>
      </c>
      <c r="Q27" s="1141">
        <f t="shared" si="2"/>
        <v>0</v>
      </c>
      <c r="R27" s="1141">
        <f t="shared" si="8"/>
        <v>1000863.0827697578</v>
      </c>
      <c r="S27" s="1140"/>
    </row>
    <row r="28" spans="2:19">
      <c r="B28" s="1131">
        <f t="shared" si="3"/>
        <v>14</v>
      </c>
      <c r="D28" s="1144" t="str">
        <f>"Total (Sum of Lines "&amp;B16&amp;" - "&amp;B27&amp;")"</f>
        <v>Total (Sum of Lines 2 - 13)</v>
      </c>
      <c r="E28" s="1145">
        <f>SUM(E16:E27)</f>
        <v>365</v>
      </c>
      <c r="F28" s="1146"/>
      <c r="G28" s="1146"/>
      <c r="H28" s="1147"/>
      <c r="I28" s="1148"/>
      <c r="J28" s="1145">
        <f>SUM(J16:J27)</f>
        <v>0</v>
      </c>
      <c r="K28" s="1145">
        <f>SUM(K16:K27)</f>
        <v>0</v>
      </c>
      <c r="L28" s="1149"/>
      <c r="M28" s="1148"/>
      <c r="N28" s="1145">
        <f>SUM(N16:N27)</f>
        <v>0</v>
      </c>
      <c r="O28" s="1145">
        <f>SUM(O16:O27)</f>
        <v>0</v>
      </c>
      <c r="P28" s="1145">
        <f>SUM(P16:P27)</f>
        <v>0</v>
      </c>
      <c r="Q28" s="1145">
        <f>SUM(Q16:Q27)</f>
        <v>0</v>
      </c>
      <c r="R28" s="1149"/>
      <c r="S28" s="1148"/>
    </row>
    <row r="29" spans="2:19">
      <c r="D29" s="1150"/>
      <c r="E29" s="1150"/>
      <c r="F29" s="1150"/>
      <c r="G29" s="1150"/>
      <c r="H29" s="1151"/>
      <c r="I29" s="1151"/>
      <c r="K29" s="1152"/>
      <c r="L29" s="1151"/>
      <c r="M29" s="1151"/>
      <c r="O29" s="1152"/>
      <c r="P29" s="1152"/>
      <c r="Q29" s="1152"/>
      <c r="R29" s="1151"/>
      <c r="S29" s="1151"/>
    </row>
    <row r="30" spans="2:19">
      <c r="B30" s="1131">
        <f>B28+1</f>
        <v>15</v>
      </c>
      <c r="D30" s="945" t="s">
        <v>1633</v>
      </c>
      <c r="I30" s="1151"/>
      <c r="J30" s="1136" t="str">
        <f>$J$14</f>
        <v>12/31/2021 (Actual)</v>
      </c>
      <c r="L30" s="1136">
        <f>'1E - ADIT Amortization'!$M$70+'1E - ADIT Amortization'!$M$79</f>
        <v>0</v>
      </c>
      <c r="M30" s="1153"/>
      <c r="N30" s="1136" t="str">
        <f>$J$14</f>
        <v>12/31/2021 (Actual)</v>
      </c>
      <c r="R30" s="1136">
        <f>'1E - ADIT Amortization'!$M$70+'1E - ADIT Amortization'!$M$79</f>
        <v>0</v>
      </c>
    </row>
    <row r="31" spans="2:19">
      <c r="B31" s="1131">
        <f>B30+1</f>
        <v>16</v>
      </c>
      <c r="D31" s="945" t="s">
        <v>1634</v>
      </c>
      <c r="I31" s="1151"/>
      <c r="J31" s="1154" t="s">
        <v>757</v>
      </c>
      <c r="L31" s="1155">
        <v>0</v>
      </c>
      <c r="M31" s="1156"/>
      <c r="N31" s="1154" t="s">
        <v>757</v>
      </c>
      <c r="R31" s="1155">
        <v>0</v>
      </c>
    </row>
    <row r="32" spans="2:19">
      <c r="B32" s="1131">
        <f>B31+1</f>
        <v>17</v>
      </c>
      <c r="D32" s="945" t="s">
        <v>1635</v>
      </c>
      <c r="I32" s="1151"/>
      <c r="J32" s="1144" t="str">
        <f>"(Col. "&amp;L11&amp;", Line "&amp;B30&amp;" + Line "&amp;B31&amp;")"</f>
        <v>(Col. (H), Line 15 + Line 16)</v>
      </c>
      <c r="L32" s="1157">
        <f>L30+L31</f>
        <v>0</v>
      </c>
      <c r="M32" s="1151"/>
      <c r="N32" s="1144" t="str">
        <f>"(Col. "&amp;R11&amp;", Line "&amp;B30&amp;" + Line "&amp;B31&amp;")"</f>
        <v>(Col. (M), Line 15 + Line 16)</v>
      </c>
      <c r="R32" s="1157">
        <f>R30+R31</f>
        <v>0</v>
      </c>
    </row>
    <row r="33" spans="2:19">
      <c r="I33" s="1151"/>
      <c r="L33" s="1157"/>
      <c r="M33" s="1151"/>
      <c r="R33" s="1157"/>
    </row>
    <row r="34" spans="2:19">
      <c r="B34" s="1131">
        <f>B32+1</f>
        <v>18</v>
      </c>
      <c r="D34" s="945" t="s">
        <v>1636</v>
      </c>
      <c r="I34" s="1151"/>
      <c r="J34" s="1136" t="s">
        <v>1973</v>
      </c>
      <c r="L34" s="1136">
        <v>0</v>
      </c>
      <c r="M34" s="1153"/>
      <c r="N34" s="1136" t="s">
        <v>2147</v>
      </c>
      <c r="R34" s="1136">
        <f>'1E - ADIT Amortization'!$Q$70+'1E - ADIT Amortization'!$Q$79</f>
        <v>0</v>
      </c>
    </row>
    <row r="35" spans="2:19">
      <c r="B35" s="1131">
        <f>B34+1</f>
        <v>19</v>
      </c>
      <c r="D35" s="945" t="s">
        <v>1637</v>
      </c>
      <c r="I35" s="1151"/>
      <c r="J35" s="1154" t="s">
        <v>757</v>
      </c>
      <c r="L35" s="1155">
        <v>0</v>
      </c>
      <c r="M35" s="1151"/>
      <c r="N35" s="1154" t="s">
        <v>757</v>
      </c>
      <c r="R35" s="1155">
        <v>0</v>
      </c>
    </row>
    <row r="36" spans="2:19">
      <c r="B36" s="1131">
        <f>B35+1</f>
        <v>20</v>
      </c>
      <c r="D36" s="945" t="s">
        <v>1638</v>
      </c>
      <c r="G36" s="1144"/>
      <c r="I36" s="1151"/>
      <c r="J36" s="1144" t="str">
        <f>"(Col. "&amp;L11&amp;", Line "&amp;B34&amp;" + Line "&amp;B35&amp;")"</f>
        <v>(Col. (H), Line 18 + Line 19)</v>
      </c>
      <c r="L36" s="1157">
        <f>L34+L35</f>
        <v>0</v>
      </c>
      <c r="M36" s="1151"/>
      <c r="N36" s="1144" t="str">
        <f>"(Col. "&amp;R11&amp;", Line "&amp;B34&amp;" + Line "&amp;B35&amp;")"</f>
        <v>(Col. (M), Line 18 + Line 19)</v>
      </c>
      <c r="R36" s="1157">
        <f>R34+R35</f>
        <v>0</v>
      </c>
    </row>
    <row r="37" spans="2:19">
      <c r="I37" s="1151"/>
      <c r="L37" s="1157"/>
      <c r="M37" s="1151"/>
      <c r="R37" s="1157"/>
    </row>
    <row r="38" spans="2:19">
      <c r="B38" s="1131">
        <f>B36+1</f>
        <v>21</v>
      </c>
      <c r="D38" s="945" t="s">
        <v>1155</v>
      </c>
      <c r="I38" s="1151"/>
      <c r="J38" s="1144" t="str">
        <f>"([Col. "&amp;L11&amp;", Line "&amp;B32&amp;" + Line "&amp;B36&amp;"] /2)"</f>
        <v>([Col. (H), Line 17 + Line 20] /2)</v>
      </c>
      <c r="L38" s="1141">
        <f>(L32+L36)/2</f>
        <v>0</v>
      </c>
      <c r="M38" s="1151"/>
      <c r="N38" s="1144" t="str">
        <f>"([Col. "&amp;R11&amp;", Line "&amp;B32&amp;" + Line "&amp;B36&amp;"] /2)"</f>
        <v>([Col. (M), Line 17 + Line 20] /2)</v>
      </c>
      <c r="R38" s="1141">
        <f>(R32+R36)/2</f>
        <v>0</v>
      </c>
    </row>
    <row r="39" spans="2:19">
      <c r="B39" s="1131">
        <f>B38+1</f>
        <v>22</v>
      </c>
      <c r="D39" s="1250" t="s">
        <v>1639</v>
      </c>
      <c r="E39" s="1150"/>
      <c r="F39" s="1150"/>
      <c r="G39" s="1150"/>
      <c r="H39" s="1151"/>
      <c r="I39" s="1151"/>
      <c r="J39" s="1144" t="str">
        <f>"(Col. "&amp;L11&amp;", Line "&amp;B27&amp;" )"</f>
        <v>(Col. (H), Line 13 )</v>
      </c>
      <c r="K39" s="1152"/>
      <c r="L39" s="1141">
        <f>L27</f>
        <v>1000863.0827697578</v>
      </c>
      <c r="M39" s="1151"/>
      <c r="N39" s="1144" t="str">
        <f>"(Col. "&amp;R11&amp;", Line "&amp;B27&amp;" )"</f>
        <v>(Col. (M), Line 13 )</v>
      </c>
      <c r="R39" s="1141">
        <f>R27</f>
        <v>1000863.0827697578</v>
      </c>
    </row>
    <row r="40" spans="2:19" ht="13.5" thickBot="1">
      <c r="B40" s="1131">
        <f>B39+1</f>
        <v>23</v>
      </c>
      <c r="D40" s="1158" t="s">
        <v>1640</v>
      </c>
      <c r="E40" s="1150"/>
      <c r="F40" s="1150"/>
      <c r="G40" s="1150"/>
      <c r="H40" s="1151"/>
      <c r="I40" s="1151"/>
      <c r="J40" s="1144" t="str">
        <f>"(Col. "&amp;L11&amp;", Line "&amp;B38&amp;" + Line "&amp;B39&amp;")"</f>
        <v>(Col. (H), Line 21 + Line 22)</v>
      </c>
      <c r="K40" s="1152"/>
      <c r="L40" s="1159">
        <f>L38+L39</f>
        <v>1000863.0827697578</v>
      </c>
      <c r="M40" s="1151"/>
      <c r="N40" s="1144" t="str">
        <f>"(Col. "&amp;R11&amp;", Line "&amp;B38&amp;" + Line "&amp;B39&amp;")"</f>
        <v>(Col. (M), Line 21 + Line 22)</v>
      </c>
      <c r="R40" s="1159">
        <f>R38+R39</f>
        <v>1000863.0827697578</v>
      </c>
    </row>
    <row r="41" spans="2:19">
      <c r="I41" s="1151"/>
      <c r="L41" s="1141"/>
      <c r="M41" s="1151"/>
      <c r="R41" s="1141"/>
      <c r="S41" s="1151"/>
    </row>
    <row r="42" spans="2:19" ht="13">
      <c r="D42" s="1128" t="s">
        <v>1641</v>
      </c>
      <c r="J42" s="1160"/>
      <c r="K42" s="1161"/>
      <c r="L42" s="1161"/>
      <c r="N42" s="1161"/>
      <c r="O42" s="1161"/>
      <c r="P42" s="1161"/>
      <c r="Q42" s="1161"/>
      <c r="R42" s="1161"/>
    </row>
    <row r="43" spans="2:19" ht="13">
      <c r="D43" s="1832" t="s">
        <v>1065</v>
      </c>
      <c r="E43" s="1833"/>
      <c r="F43" s="1833"/>
      <c r="G43" s="1833"/>
      <c r="H43" s="1834"/>
      <c r="I43" s="1132"/>
      <c r="J43" s="1835" t="s">
        <v>1630</v>
      </c>
      <c r="K43" s="1836"/>
      <c r="L43" s="1837"/>
      <c r="M43" s="1132"/>
      <c r="N43" s="1835" t="s">
        <v>1631</v>
      </c>
      <c r="O43" s="1836"/>
      <c r="P43" s="1836"/>
      <c r="Q43" s="1836"/>
      <c r="R43" s="1837"/>
      <c r="S43" s="1132"/>
    </row>
    <row r="44" spans="2:19" ht="13">
      <c r="D44" s="1133" t="s">
        <v>216</v>
      </c>
      <c r="E44" s="1133" t="s">
        <v>217</v>
      </c>
      <c r="F44" s="1133" t="s">
        <v>1565</v>
      </c>
      <c r="G44" s="1133" t="s">
        <v>1566</v>
      </c>
      <c r="H44" s="1133" t="s">
        <v>1567</v>
      </c>
      <c r="I44" s="1132"/>
      <c r="J44" s="1133" t="s">
        <v>1568</v>
      </c>
      <c r="K44" s="1133" t="s">
        <v>1569</v>
      </c>
      <c r="L44" s="1133" t="s">
        <v>1570</v>
      </c>
      <c r="M44" s="1132"/>
      <c r="N44" s="1133" t="s">
        <v>1571</v>
      </c>
      <c r="O44" s="1133" t="s">
        <v>1572</v>
      </c>
      <c r="P44" s="1133" t="s">
        <v>1573</v>
      </c>
      <c r="Q44" s="1133" t="s">
        <v>1574</v>
      </c>
      <c r="R44" s="1133" t="s">
        <v>1575</v>
      </c>
      <c r="S44" s="1132"/>
    </row>
    <row r="45" spans="2:19" ht="50">
      <c r="B45" s="1134" t="s">
        <v>1576</v>
      </c>
      <c r="D45" s="1135" t="s">
        <v>211</v>
      </c>
      <c r="E45" s="1135" t="s">
        <v>1066</v>
      </c>
      <c r="F45" s="1135" t="s">
        <v>1067</v>
      </c>
      <c r="G45" s="1135" t="s">
        <v>1068</v>
      </c>
      <c r="H45" s="1135" t="s">
        <v>1577</v>
      </c>
      <c r="I45" s="1361"/>
      <c r="J45" s="1135" t="s">
        <v>1069</v>
      </c>
      <c r="K45" s="1135" t="s">
        <v>1578</v>
      </c>
      <c r="L45" s="1135" t="s">
        <v>1579</v>
      </c>
      <c r="M45" s="1361"/>
      <c r="N45" s="1135" t="s">
        <v>1158</v>
      </c>
      <c r="O45" s="1135" t="s">
        <v>1580</v>
      </c>
      <c r="P45" s="1135" t="s">
        <v>1581</v>
      </c>
      <c r="Q45" s="1135" t="s">
        <v>1582</v>
      </c>
      <c r="R45" s="1135" t="s">
        <v>1583</v>
      </c>
      <c r="S45" s="1361"/>
    </row>
    <row r="46" spans="2:19">
      <c r="E46" s="1361"/>
      <c r="F46" s="1361"/>
      <c r="G46" s="1361"/>
      <c r="H46" s="1361"/>
      <c r="I46" s="1361"/>
      <c r="J46" s="1361"/>
      <c r="K46" s="1361"/>
      <c r="L46" s="1361"/>
      <c r="M46" s="1361"/>
      <c r="N46" s="1361"/>
      <c r="O46" s="1361"/>
      <c r="P46" s="1361"/>
      <c r="Q46" s="1361"/>
      <c r="R46" s="1361"/>
      <c r="S46" s="1361"/>
    </row>
    <row r="47" spans="2:19">
      <c r="B47" s="1131">
        <f>B40+1</f>
        <v>24</v>
      </c>
      <c r="D47" s="945" t="s">
        <v>1632</v>
      </c>
      <c r="E47" s="1361"/>
      <c r="F47" s="1361"/>
      <c r="G47" s="1361"/>
      <c r="H47" s="1361"/>
      <c r="I47" s="1361"/>
      <c r="J47" s="1136" t="str">
        <f>$J$14</f>
        <v>12/31/2021 (Actual)</v>
      </c>
      <c r="K47" s="1361"/>
      <c r="L47" s="1136">
        <f>'1E - ADIT Amortization'!$M$90</f>
        <v>-50909990.155828647</v>
      </c>
      <c r="M47" s="1361"/>
      <c r="N47" s="1136" t="s">
        <v>1957</v>
      </c>
      <c r="O47" s="1361"/>
      <c r="P47" s="1361"/>
      <c r="Q47" s="1361"/>
      <c r="R47" s="1136">
        <f>'1E - ADIT Amortization'!$M$90</f>
        <v>-50909990.155828647</v>
      </c>
      <c r="S47" s="1361"/>
    </row>
    <row r="48" spans="2:19">
      <c r="E48" s="1361"/>
      <c r="F48" s="1361"/>
      <c r="G48" s="1361"/>
      <c r="H48" s="1361"/>
      <c r="I48" s="1361"/>
      <c r="J48" s="1361"/>
      <c r="K48" s="1361"/>
      <c r="L48" s="1361"/>
      <c r="M48" s="1361"/>
      <c r="N48" s="1361"/>
      <c r="O48" s="1361"/>
      <c r="P48" s="1361"/>
      <c r="Q48" s="1361"/>
      <c r="R48" s="1361"/>
      <c r="S48" s="1361"/>
    </row>
    <row r="49" spans="2:19">
      <c r="B49" s="1131">
        <f>B47+1</f>
        <v>25</v>
      </c>
      <c r="D49" s="1137" t="s">
        <v>634</v>
      </c>
      <c r="E49" s="1136">
        <v>31</v>
      </c>
      <c r="F49" s="1138">
        <v>0</v>
      </c>
      <c r="G49" s="1138">
        <v>214</v>
      </c>
      <c r="H49" s="1139">
        <f t="shared" ref="H49:H60" si="10">IF(F49=0,0.5,F49/G49)</f>
        <v>0.5</v>
      </c>
      <c r="I49" s="1140"/>
      <c r="J49" s="1136">
        <v>113207.91666666667</v>
      </c>
      <c r="K49" s="1141">
        <f t="shared" ref="K49:K60" si="11">+J49*H49</f>
        <v>56603.958333333336</v>
      </c>
      <c r="L49" s="1141">
        <f>+K49+L47</f>
        <v>-50853386.197495311</v>
      </c>
      <c r="M49" s="1140"/>
      <c r="N49" s="1136">
        <f>'1E - ADIT Amortization'!$O$90/12</f>
        <v>109300.25</v>
      </c>
      <c r="O49" s="1141">
        <f>IF($D$237="True-Up Adjustment",N49-J49,0)</f>
        <v>-3907.6666666666715</v>
      </c>
      <c r="P49" s="1141">
        <f>IF($D$237="True-Up Adjustment",IF(AND(J49&gt;=0,N49&gt;=0),IF(O49&gt;=0,K49+O49,N49/J49*K49),IF(AND(J49&lt;0,N49&lt;0),IF(O49&lt;0,K49+O49,N49/J49*K49),0)),0)</f>
        <v>54650.125</v>
      </c>
      <c r="Q49" s="1141">
        <f t="shared" ref="Q49:Q60" si="12">IF(AND(J49&gt;=0,N49&lt;0),N49,IF(AND(J49&lt;0,N49&gt;=0),N49,0))</f>
        <v>0</v>
      </c>
      <c r="R49" s="1141">
        <f>R47+P49+Q49</f>
        <v>-50855340.030828647</v>
      </c>
      <c r="S49" s="1140"/>
    </row>
    <row r="50" spans="2:19">
      <c r="B50" s="1131">
        <f t="shared" ref="B50:B61" si="13">+B49+1</f>
        <v>26</v>
      </c>
      <c r="D50" s="1137" t="s">
        <v>635</v>
      </c>
      <c r="E50" s="1136">
        <v>28</v>
      </c>
      <c r="F50" s="1138">
        <v>0</v>
      </c>
      <c r="G50" s="1138">
        <f t="shared" ref="G50:G60" si="14">G49</f>
        <v>214</v>
      </c>
      <c r="H50" s="1139">
        <f t="shared" si="10"/>
        <v>0.5</v>
      </c>
      <c r="I50" s="1140"/>
      <c r="J50" s="1136">
        <v>113207.91666666667</v>
      </c>
      <c r="K50" s="1141">
        <f t="shared" si="11"/>
        <v>56603.958333333336</v>
      </c>
      <c r="L50" s="1141">
        <f t="shared" ref="L50:L60" si="15">+K50+L49</f>
        <v>-50796782.239161976</v>
      </c>
      <c r="M50" s="1140"/>
      <c r="N50" s="1136">
        <f>'1E - ADIT Amortization'!$O$90/12</f>
        <v>109300.25</v>
      </c>
      <c r="O50" s="1141">
        <f t="shared" ref="O50:O60" si="16">IF($D$237="True-Up Adjustment",N50-J50,0)</f>
        <v>-3907.6666666666715</v>
      </c>
      <c r="P50" s="1141">
        <f t="shared" ref="P50:P60" si="17">IF($D$237="True-Up Adjustment",IF(AND(J50&gt;=0,N50&gt;=0),IF(O50&gt;=0,K50+O50,N50/J50*K50),IF(AND(J50&lt;0,N50&lt;0),IF(O50&lt;0,K50+O50,N50/J50*K50),0)),0)</f>
        <v>54650.125</v>
      </c>
      <c r="Q50" s="1141">
        <f t="shared" si="12"/>
        <v>0</v>
      </c>
      <c r="R50" s="1141">
        <f t="shared" ref="R50:R60" si="18">R49+P50+Q50</f>
        <v>-50800689.905828647</v>
      </c>
      <c r="S50" s="1140"/>
    </row>
    <row r="51" spans="2:19">
      <c r="B51" s="1131">
        <f t="shared" si="13"/>
        <v>27</v>
      </c>
      <c r="D51" s="1137" t="s">
        <v>662</v>
      </c>
      <c r="E51" s="1136">
        <v>31</v>
      </c>
      <c r="F51" s="1138">
        <v>0</v>
      </c>
      <c r="G51" s="1138">
        <f t="shared" si="14"/>
        <v>214</v>
      </c>
      <c r="H51" s="1139">
        <f t="shared" si="10"/>
        <v>0.5</v>
      </c>
      <c r="I51" s="1140"/>
      <c r="J51" s="1136">
        <v>113207.91666666667</v>
      </c>
      <c r="K51" s="1141">
        <f t="shared" si="11"/>
        <v>56603.958333333336</v>
      </c>
      <c r="L51" s="1141">
        <f t="shared" si="15"/>
        <v>-50740178.28082864</v>
      </c>
      <c r="M51" s="1140"/>
      <c r="N51" s="1136">
        <f>'1E - ADIT Amortization'!$O$90/12</f>
        <v>109300.25</v>
      </c>
      <c r="O51" s="1141">
        <f t="shared" si="16"/>
        <v>-3907.6666666666715</v>
      </c>
      <c r="P51" s="1141">
        <f t="shared" si="17"/>
        <v>54650.125</v>
      </c>
      <c r="Q51" s="1141">
        <f t="shared" si="12"/>
        <v>0</v>
      </c>
      <c r="R51" s="1141">
        <f t="shared" si="18"/>
        <v>-50746039.780828647</v>
      </c>
      <c r="S51" s="1140"/>
    </row>
    <row r="52" spans="2:19">
      <c r="B52" s="1131">
        <f t="shared" si="13"/>
        <v>28</v>
      </c>
      <c r="D52" s="1137" t="s">
        <v>213</v>
      </c>
      <c r="E52" s="1136">
        <v>30</v>
      </c>
      <c r="F52" s="1138">
        <v>0</v>
      </c>
      <c r="G52" s="1138">
        <f t="shared" si="14"/>
        <v>214</v>
      </c>
      <c r="H52" s="1139">
        <f t="shared" si="10"/>
        <v>0.5</v>
      </c>
      <c r="I52" s="1140"/>
      <c r="J52" s="1136">
        <v>113207.91666666667</v>
      </c>
      <c r="K52" s="1141">
        <f t="shared" si="11"/>
        <v>56603.958333333336</v>
      </c>
      <c r="L52" s="1141">
        <f t="shared" si="15"/>
        <v>-50683574.322495304</v>
      </c>
      <c r="M52" s="1140"/>
      <c r="N52" s="1136">
        <f>'1E - ADIT Amortization'!$O$90/12</f>
        <v>109300.25</v>
      </c>
      <c r="O52" s="1141">
        <f>IF($D$237="True-Up Adjustment",N52-J52,0)</f>
        <v>-3907.6666666666715</v>
      </c>
      <c r="P52" s="1141">
        <f t="shared" si="17"/>
        <v>54650.125</v>
      </c>
      <c r="Q52" s="1141">
        <f t="shared" si="12"/>
        <v>0</v>
      </c>
      <c r="R52" s="1141">
        <f t="shared" si="18"/>
        <v>-50691389.655828647</v>
      </c>
      <c r="S52" s="1140"/>
    </row>
    <row r="53" spans="2:19">
      <c r="B53" s="1131">
        <f t="shared" si="13"/>
        <v>29</v>
      </c>
      <c r="D53" s="1137" t="s">
        <v>214</v>
      </c>
      <c r="E53" s="1136">
        <v>31</v>
      </c>
      <c r="F53" s="1138">
        <v>0</v>
      </c>
      <c r="G53" s="1138">
        <f t="shared" si="14"/>
        <v>214</v>
      </c>
      <c r="H53" s="1139">
        <f t="shared" si="10"/>
        <v>0.5</v>
      </c>
      <c r="I53" s="1140"/>
      <c r="J53" s="1136">
        <v>113207.91666666667</v>
      </c>
      <c r="K53" s="1141">
        <f t="shared" si="11"/>
        <v>56603.958333333336</v>
      </c>
      <c r="L53" s="1141">
        <f t="shared" si="15"/>
        <v>-50626970.364161968</v>
      </c>
      <c r="M53" s="1140"/>
      <c r="N53" s="1136">
        <f>'1E - ADIT Amortization'!$O$90/12</f>
        <v>109300.25</v>
      </c>
      <c r="O53" s="1141">
        <f t="shared" si="16"/>
        <v>-3907.6666666666715</v>
      </c>
      <c r="P53" s="1141">
        <f t="shared" si="17"/>
        <v>54650.125</v>
      </c>
      <c r="Q53" s="1141">
        <f t="shared" si="12"/>
        <v>0</v>
      </c>
      <c r="R53" s="1141">
        <f t="shared" si="18"/>
        <v>-50636739.530828647</v>
      </c>
      <c r="S53" s="1140"/>
    </row>
    <row r="54" spans="2:19">
      <c r="B54" s="1131">
        <f t="shared" si="13"/>
        <v>30</v>
      </c>
      <c r="D54" s="1137" t="s">
        <v>215</v>
      </c>
      <c r="E54" s="1136">
        <v>30</v>
      </c>
      <c r="F54" s="1138">
        <f t="shared" ref="F54:F59" si="19">E55+F55</f>
        <v>185</v>
      </c>
      <c r="G54" s="1138">
        <f t="shared" si="14"/>
        <v>214</v>
      </c>
      <c r="H54" s="1139">
        <f t="shared" si="10"/>
        <v>0.86448598130841126</v>
      </c>
      <c r="I54" s="1140"/>
      <c r="J54" s="1136">
        <v>113207.91666666667</v>
      </c>
      <c r="K54" s="1141">
        <f t="shared" si="11"/>
        <v>97866.656931464182</v>
      </c>
      <c r="L54" s="1141">
        <f t="shared" si="15"/>
        <v>-50529103.707230501</v>
      </c>
      <c r="M54" s="1140"/>
      <c r="N54" s="1136">
        <f>'1E - ADIT Amortization'!$O$90/12</f>
        <v>109300.25</v>
      </c>
      <c r="O54" s="1141">
        <f t="shared" si="16"/>
        <v>-3907.6666666666715</v>
      </c>
      <c r="P54" s="1141">
        <f t="shared" si="17"/>
        <v>94488.533878504677</v>
      </c>
      <c r="Q54" s="1141">
        <f t="shared" si="12"/>
        <v>0</v>
      </c>
      <c r="R54" s="1141">
        <f t="shared" si="18"/>
        <v>-50542250.996950142</v>
      </c>
      <c r="S54" s="1140"/>
    </row>
    <row r="55" spans="2:19">
      <c r="B55" s="1131">
        <f t="shared" si="13"/>
        <v>31</v>
      </c>
      <c r="D55" s="1137" t="s">
        <v>637</v>
      </c>
      <c r="E55" s="1136">
        <v>31</v>
      </c>
      <c r="F55" s="1138">
        <f t="shared" si="19"/>
        <v>154</v>
      </c>
      <c r="G55" s="1138">
        <f t="shared" si="14"/>
        <v>214</v>
      </c>
      <c r="H55" s="1139">
        <f t="shared" si="10"/>
        <v>0.71962616822429903</v>
      </c>
      <c r="I55" s="1140"/>
      <c r="J55" s="1136">
        <v>113207.91666666667</v>
      </c>
      <c r="K55" s="1141">
        <f t="shared" si="11"/>
        <v>81467.379283489092</v>
      </c>
      <c r="L55" s="1141">
        <f t="shared" si="15"/>
        <v>-50447636.327947013</v>
      </c>
      <c r="M55" s="1140"/>
      <c r="N55" s="1136">
        <f>'1E - ADIT Amortization'!$O$90/12</f>
        <v>109300.25</v>
      </c>
      <c r="O55" s="1141">
        <f t="shared" si="16"/>
        <v>-3907.6666666666715</v>
      </c>
      <c r="P55" s="1141">
        <f t="shared" si="17"/>
        <v>78655.320093457936</v>
      </c>
      <c r="Q55" s="1141">
        <f t="shared" si="12"/>
        <v>0</v>
      </c>
      <c r="R55" s="1141">
        <f t="shared" si="18"/>
        <v>-50463595.676856682</v>
      </c>
      <c r="S55" s="1140"/>
    </row>
    <row r="56" spans="2:19">
      <c r="B56" s="1131">
        <f t="shared" si="13"/>
        <v>32</v>
      </c>
      <c r="D56" s="1137" t="s">
        <v>663</v>
      </c>
      <c r="E56" s="1136">
        <v>31</v>
      </c>
      <c r="F56" s="1138">
        <f t="shared" si="19"/>
        <v>123</v>
      </c>
      <c r="G56" s="1138">
        <f t="shared" si="14"/>
        <v>214</v>
      </c>
      <c r="H56" s="1139">
        <f t="shared" si="10"/>
        <v>0.57476635514018692</v>
      </c>
      <c r="I56" s="1140"/>
      <c r="J56" s="1136">
        <v>113207.91666666667</v>
      </c>
      <c r="K56" s="1141">
        <f t="shared" si="11"/>
        <v>65068.101635514024</v>
      </c>
      <c r="L56" s="1141">
        <f t="shared" si="15"/>
        <v>-50382568.226311497</v>
      </c>
      <c r="M56" s="1140"/>
      <c r="N56" s="1136">
        <f>'1E - ADIT Amortization'!$O$90/12</f>
        <v>109300.25</v>
      </c>
      <c r="O56" s="1141">
        <f t="shared" si="16"/>
        <v>-3907.6666666666715</v>
      </c>
      <c r="P56" s="1141">
        <f t="shared" si="17"/>
        <v>62822.106308411217</v>
      </c>
      <c r="Q56" s="1141">
        <f t="shared" si="12"/>
        <v>0</v>
      </c>
      <c r="R56" s="1141">
        <f t="shared" si="18"/>
        <v>-50400773.570548274</v>
      </c>
      <c r="S56" s="1140"/>
    </row>
    <row r="57" spans="2:19">
      <c r="B57" s="1131">
        <f t="shared" si="13"/>
        <v>33</v>
      </c>
      <c r="D57" s="1137" t="s">
        <v>639</v>
      </c>
      <c r="E57" s="1136">
        <v>30</v>
      </c>
      <c r="F57" s="1138">
        <f t="shared" si="19"/>
        <v>93</v>
      </c>
      <c r="G57" s="1138">
        <f t="shared" si="14"/>
        <v>214</v>
      </c>
      <c r="H57" s="1139">
        <f t="shared" si="10"/>
        <v>0.43457943925233644</v>
      </c>
      <c r="I57" s="1140"/>
      <c r="J57" s="1136">
        <v>113207.91666666667</v>
      </c>
      <c r="K57" s="1141">
        <f t="shared" si="11"/>
        <v>49197.832943925234</v>
      </c>
      <c r="L57" s="1141">
        <f t="shared" si="15"/>
        <v>-50333370.393367574</v>
      </c>
      <c r="M57" s="1140"/>
      <c r="N57" s="1136">
        <f>'1E - ADIT Amortization'!$O$90/12</f>
        <v>109300.25</v>
      </c>
      <c r="O57" s="1141">
        <f t="shared" si="16"/>
        <v>-3907.6666666666715</v>
      </c>
      <c r="P57" s="1141">
        <f t="shared" si="17"/>
        <v>47499.641355140186</v>
      </c>
      <c r="Q57" s="1141">
        <f t="shared" si="12"/>
        <v>0</v>
      </c>
      <c r="R57" s="1141">
        <f t="shared" si="18"/>
        <v>-50353273.929193132</v>
      </c>
      <c r="S57" s="1140"/>
    </row>
    <row r="58" spans="2:19">
      <c r="B58" s="1131">
        <f t="shared" si="13"/>
        <v>34</v>
      </c>
      <c r="D58" s="1137" t="s">
        <v>640</v>
      </c>
      <c r="E58" s="1136">
        <v>31</v>
      </c>
      <c r="F58" s="1138">
        <f t="shared" si="19"/>
        <v>62</v>
      </c>
      <c r="G58" s="1138">
        <f t="shared" si="14"/>
        <v>214</v>
      </c>
      <c r="H58" s="1139">
        <f t="shared" si="10"/>
        <v>0.28971962616822428</v>
      </c>
      <c r="I58" s="1140"/>
      <c r="J58" s="1136">
        <v>113207.91666666667</v>
      </c>
      <c r="K58" s="1141">
        <f t="shared" si="11"/>
        <v>32798.555295950151</v>
      </c>
      <c r="L58" s="1141">
        <f t="shared" si="15"/>
        <v>-50300571.838071622</v>
      </c>
      <c r="M58" s="1140"/>
      <c r="N58" s="1136">
        <f>'1E - ADIT Amortization'!$O$90/12</f>
        <v>109300.25</v>
      </c>
      <c r="O58" s="1141">
        <f t="shared" si="16"/>
        <v>-3907.6666666666715</v>
      </c>
      <c r="P58" s="1141">
        <f t="shared" si="17"/>
        <v>31666.427570093452</v>
      </c>
      <c r="Q58" s="1141">
        <f t="shared" si="12"/>
        <v>0</v>
      </c>
      <c r="R58" s="1141">
        <f t="shared" si="18"/>
        <v>-50321607.501623034</v>
      </c>
      <c r="S58" s="1140"/>
    </row>
    <row r="59" spans="2:19">
      <c r="B59" s="1131">
        <f t="shared" si="13"/>
        <v>35</v>
      </c>
      <c r="D59" s="1137" t="s">
        <v>641</v>
      </c>
      <c r="E59" s="1136">
        <v>30</v>
      </c>
      <c r="F59" s="1138">
        <f t="shared" si="19"/>
        <v>32</v>
      </c>
      <c r="G59" s="1138">
        <f t="shared" si="14"/>
        <v>214</v>
      </c>
      <c r="H59" s="1139">
        <f t="shared" si="10"/>
        <v>0.14953271028037382</v>
      </c>
      <c r="I59" s="1140"/>
      <c r="J59" s="1136">
        <v>113207.91666666667</v>
      </c>
      <c r="K59" s="1141">
        <f t="shared" si="11"/>
        <v>16928.286604361369</v>
      </c>
      <c r="L59" s="1141">
        <f t="shared" si="15"/>
        <v>-50283643.551467262</v>
      </c>
      <c r="M59" s="1140"/>
      <c r="N59" s="1136">
        <f>'1E - ADIT Amortization'!$O$90/12</f>
        <v>109300.25</v>
      </c>
      <c r="O59" s="1141">
        <f t="shared" si="16"/>
        <v>-3907.6666666666715</v>
      </c>
      <c r="P59" s="1141">
        <f t="shared" si="17"/>
        <v>16343.962616822428</v>
      </c>
      <c r="Q59" s="1141">
        <f t="shared" si="12"/>
        <v>0</v>
      </c>
      <c r="R59" s="1141">
        <f t="shared" si="18"/>
        <v>-50305263.539006211</v>
      </c>
      <c r="S59" s="1140"/>
    </row>
    <row r="60" spans="2:19">
      <c r="B60" s="1131">
        <f t="shared" si="13"/>
        <v>36</v>
      </c>
      <c r="D60" s="1142" t="s">
        <v>895</v>
      </c>
      <c r="E60" s="1136">
        <v>31</v>
      </c>
      <c r="F60" s="1143">
        <v>1</v>
      </c>
      <c r="G60" s="1138">
        <f t="shared" si="14"/>
        <v>214</v>
      </c>
      <c r="H60" s="1139">
        <f t="shared" si="10"/>
        <v>4.6728971962616819E-3</v>
      </c>
      <c r="I60" s="1140"/>
      <c r="J60" s="1136">
        <v>113207.91666666667</v>
      </c>
      <c r="K60" s="1141">
        <f t="shared" si="11"/>
        <v>529.00895638629277</v>
      </c>
      <c r="L60" s="1141">
        <f t="shared" si="15"/>
        <v>-50283114.542510875</v>
      </c>
      <c r="M60" s="1140"/>
      <c r="N60" s="1155">
        <f>'1E - ADIT Amortization'!$O$90/12</f>
        <v>109300.25</v>
      </c>
      <c r="O60" s="1141">
        <f t="shared" si="16"/>
        <v>-3907.6666666666715</v>
      </c>
      <c r="P60" s="1141">
        <f t="shared" si="17"/>
        <v>510.74883177570086</v>
      </c>
      <c r="Q60" s="1141">
        <f t="shared" si="12"/>
        <v>0</v>
      </c>
      <c r="R60" s="1141">
        <f t="shared" si="18"/>
        <v>-50304752.790174432</v>
      </c>
      <c r="S60" s="1140"/>
    </row>
    <row r="61" spans="2:19">
      <c r="B61" s="1131">
        <f t="shared" si="13"/>
        <v>37</v>
      </c>
      <c r="D61" s="1144" t="str">
        <f>"Total (Sum of Lines "&amp;B49&amp;" - "&amp;B60&amp;")"</f>
        <v>Total (Sum of Lines 25 - 36)</v>
      </c>
      <c r="E61" s="1145">
        <f>SUM(E49:E60)</f>
        <v>365</v>
      </c>
      <c r="F61" s="1146"/>
      <c r="G61" s="1146"/>
      <c r="H61" s="1147"/>
      <c r="I61" s="1148"/>
      <c r="J61" s="1145">
        <f>SUM(J49:J60)</f>
        <v>1358495</v>
      </c>
      <c r="K61" s="1145">
        <f>SUM(K49:K60)</f>
        <v>626875.61331775703</v>
      </c>
      <c r="L61" s="1145"/>
      <c r="M61" s="1148"/>
      <c r="N61" s="1145">
        <f>SUM(N49:N60)</f>
        <v>1311603</v>
      </c>
      <c r="O61" s="1145">
        <f>SUM(O49:O60)</f>
        <v>-46892.000000000058</v>
      </c>
      <c r="P61" s="1145">
        <f>SUM(P49:P60)</f>
        <v>605237.36565420555</v>
      </c>
      <c r="Q61" s="1145">
        <f>SUM(Q49:Q60)</f>
        <v>0</v>
      </c>
      <c r="R61" s="1149"/>
      <c r="S61" s="1148"/>
    </row>
    <row r="62" spans="2:19">
      <c r="D62" s="1150"/>
      <c r="E62" s="1150"/>
      <c r="F62" s="1150"/>
      <c r="G62" s="1150"/>
      <c r="H62" s="1151"/>
      <c r="I62" s="1151"/>
      <c r="K62" s="1152"/>
      <c r="L62" s="1151"/>
      <c r="M62" s="1151"/>
      <c r="N62" s="1162"/>
      <c r="O62" s="1152"/>
      <c r="P62" s="1152"/>
      <c r="Q62" s="1152"/>
      <c r="R62" s="1151"/>
      <c r="S62" s="1151"/>
    </row>
    <row r="63" spans="2:19" ht="15" customHeight="1">
      <c r="B63" s="1131">
        <f>B61+1</f>
        <v>38</v>
      </c>
      <c r="D63" s="945" t="s">
        <v>1633</v>
      </c>
      <c r="I63" s="1151"/>
      <c r="J63" s="1136" t="str">
        <f>$J$30</f>
        <v>12/31/2021 (Actual)</v>
      </c>
      <c r="L63" s="1136">
        <f>'1E - ADIT Amortization'!$M$18+'1E - ADIT Amortization'!$M$27</f>
        <v>-9225370.1294396408</v>
      </c>
      <c r="M63" s="1153"/>
      <c r="N63" s="1136" t="str">
        <f>$J$14</f>
        <v>12/31/2021 (Actual)</v>
      </c>
      <c r="R63" s="1136">
        <f>'1E - ADIT Amortization'!$M$18+'1E - ADIT Amortization'!$M$27</f>
        <v>-9225370.1294396408</v>
      </c>
    </row>
    <row r="64" spans="2:19">
      <c r="B64" s="1131">
        <f>B63+1</f>
        <v>39</v>
      </c>
      <c r="D64" s="945" t="s">
        <v>1634</v>
      </c>
      <c r="I64" s="1151"/>
      <c r="J64" s="1154" t="s">
        <v>757</v>
      </c>
      <c r="L64" s="1155">
        <v>0</v>
      </c>
      <c r="M64" s="1156"/>
      <c r="N64" s="1154" t="s">
        <v>757</v>
      </c>
      <c r="R64" s="1155">
        <v>0</v>
      </c>
    </row>
    <row r="65" spans="2:19">
      <c r="B65" s="1131">
        <f>B64+1</f>
        <v>40</v>
      </c>
      <c r="D65" s="945" t="s">
        <v>1635</v>
      </c>
      <c r="I65" s="1151"/>
      <c r="J65" s="1144" t="str">
        <f>"(Col. "&amp;L44&amp;", Line "&amp;B63&amp;" + Line "&amp;B64&amp;")"</f>
        <v>(Col. (H), Line 38 + Line 39)</v>
      </c>
      <c r="L65" s="1157">
        <f>L63+L64</f>
        <v>-9225370.1294396408</v>
      </c>
      <c r="M65" s="1151"/>
      <c r="N65" s="1144" t="str">
        <f>"(Col. "&amp;R44&amp;", Line "&amp;B63&amp;" + Line "&amp;B64&amp;")"</f>
        <v>(Col. (M), Line 38 + Line 39)</v>
      </c>
      <c r="R65" s="1157">
        <f>R63+R64</f>
        <v>-9225370.1294396408</v>
      </c>
    </row>
    <row r="66" spans="2:19">
      <c r="I66" s="1151"/>
      <c r="L66" s="1157"/>
      <c r="M66" s="1151"/>
      <c r="R66" s="1157"/>
    </row>
    <row r="67" spans="2:19">
      <c r="B67" s="1131">
        <f>B65+1</f>
        <v>41</v>
      </c>
      <c r="D67" s="945" t="s">
        <v>1636</v>
      </c>
      <c r="I67" s="1151"/>
      <c r="J67" s="1136" t="str">
        <f>$J$34</f>
        <v>2022 Projected</v>
      </c>
      <c r="L67" s="1136">
        <v>0</v>
      </c>
      <c r="M67" s="1153"/>
      <c r="N67" s="1136" t="str">
        <f>$N$34</f>
        <v>12/31/2022 (Actual)</v>
      </c>
      <c r="R67" s="1136">
        <f>'1E - ADIT Amortization'!Q18+'1E - ADIT Amortization'!Q27</f>
        <v>0</v>
      </c>
    </row>
    <row r="68" spans="2:19">
      <c r="B68" s="1131">
        <f>B67+1</f>
        <v>42</v>
      </c>
      <c r="D68" s="945" t="s">
        <v>1637</v>
      </c>
      <c r="I68" s="1151"/>
      <c r="J68" s="1154" t="s">
        <v>757</v>
      </c>
      <c r="L68" s="1155">
        <v>0</v>
      </c>
      <c r="M68" s="1151"/>
      <c r="N68" s="1154" t="s">
        <v>757</v>
      </c>
      <c r="R68" s="1155">
        <v>0</v>
      </c>
    </row>
    <row r="69" spans="2:19">
      <c r="B69" s="1131">
        <f>B68+1</f>
        <v>43</v>
      </c>
      <c r="D69" s="945" t="s">
        <v>1638</v>
      </c>
      <c r="I69" s="1151"/>
      <c r="J69" s="1144" t="str">
        <f>"(Col. "&amp;L44&amp;", Line "&amp;B67&amp;" + Line "&amp;B68&amp;")"</f>
        <v>(Col. (H), Line 41 + Line 42)</v>
      </c>
      <c r="L69" s="1157">
        <f>L67+L68</f>
        <v>0</v>
      </c>
      <c r="M69" s="1151"/>
      <c r="N69" s="1144" t="str">
        <f>"(Col. "&amp;R44&amp;", Line "&amp;B67&amp;" + Line "&amp;B68&amp;")"</f>
        <v>(Col. (M), Line 41 + Line 42)</v>
      </c>
      <c r="R69" s="1157">
        <f>R67+R68</f>
        <v>0</v>
      </c>
    </row>
    <row r="70" spans="2:19">
      <c r="I70" s="1151"/>
      <c r="L70" s="1157"/>
      <c r="M70" s="1151"/>
      <c r="R70" s="1157"/>
    </row>
    <row r="71" spans="2:19">
      <c r="B71" s="1131">
        <f>B69+1</f>
        <v>44</v>
      </c>
      <c r="D71" s="945" t="s">
        <v>1155</v>
      </c>
      <c r="I71" s="1151"/>
      <c r="J71" s="1144" t="str">
        <f>"([Col. "&amp;L44&amp;", Line "&amp;B65&amp;" + Line "&amp;B69&amp;"] /2)"</f>
        <v>([Col. (H), Line 40 + Line 43] /2)</v>
      </c>
      <c r="L71" s="1141">
        <f>(L65+L69)/2</f>
        <v>-4612685.0647198204</v>
      </c>
      <c r="M71" s="1151"/>
      <c r="N71" s="1144" t="str">
        <f>"([Col. "&amp;R44&amp;", Line "&amp;B65&amp;" + Line "&amp;B69&amp;"] /2)"</f>
        <v>([Col. (M), Line 40 + Line 43] /2)</v>
      </c>
      <c r="R71" s="1141">
        <f>(R65+R69)/2</f>
        <v>-4612685.0647198204</v>
      </c>
    </row>
    <row r="72" spans="2:19">
      <c r="B72" s="1131">
        <f>B71+1</f>
        <v>45</v>
      </c>
      <c r="D72" s="1250" t="s">
        <v>1639</v>
      </c>
      <c r="E72" s="1150"/>
      <c r="F72" s="1150"/>
      <c r="G72" s="1150"/>
      <c r="H72" s="1151"/>
      <c r="I72" s="1151"/>
      <c r="J72" s="1144" t="str">
        <f>"(Col. "&amp;L44&amp;", Line "&amp;B60&amp;" )"</f>
        <v>(Col. (H), Line 36 )</v>
      </c>
      <c r="K72" s="1152"/>
      <c r="L72" s="1141">
        <f>L60</f>
        <v>-50283114.542510875</v>
      </c>
      <c r="M72" s="1151"/>
      <c r="N72" s="1144" t="str">
        <f>"(Col. "&amp;R44&amp;", Line "&amp;B60&amp;" )"</f>
        <v>(Col. (M), Line 36 )</v>
      </c>
      <c r="R72" s="1141">
        <f>R60</f>
        <v>-50304752.790174432</v>
      </c>
    </row>
    <row r="73" spans="2:19" ht="13.5" thickBot="1">
      <c r="B73" s="1131">
        <f>B72+1</f>
        <v>46</v>
      </c>
      <c r="D73" s="1158" t="s">
        <v>1642</v>
      </c>
      <c r="E73" s="1150"/>
      <c r="F73" s="1150"/>
      <c r="G73" s="1150"/>
      <c r="H73" s="1151"/>
      <c r="I73" s="1151"/>
      <c r="J73" s="1144" t="str">
        <f>"(Col. "&amp;L44&amp;", Line "&amp;B71&amp;" + Line "&amp;B72&amp;")"</f>
        <v>(Col. (H), Line 44 + Line 45)</v>
      </c>
      <c r="K73" s="1152"/>
      <c r="L73" s="1159">
        <f>L71+L72</f>
        <v>-54895799.607230693</v>
      </c>
      <c r="M73" s="1151"/>
      <c r="N73" s="1144" t="str">
        <f>"(Col. "&amp;R44&amp;", Line "&amp;B71&amp;" + Line "&amp;B72&amp;")"</f>
        <v>(Col. (M), Line 44 + Line 45)</v>
      </c>
      <c r="R73" s="1159">
        <f>R71+R72</f>
        <v>-54917437.854894251</v>
      </c>
    </row>
    <row r="74" spans="2:19" ht="13">
      <c r="D74" s="1128"/>
    </row>
    <row r="75" spans="2:19" ht="13">
      <c r="D75" s="1128" t="s">
        <v>1643</v>
      </c>
      <c r="J75" s="1831"/>
      <c r="K75" s="1831"/>
      <c r="L75" s="1831"/>
      <c r="N75" s="1831"/>
      <c r="O75" s="1831"/>
      <c r="P75" s="1831"/>
      <c r="Q75" s="1831"/>
      <c r="R75" s="1831"/>
    </row>
    <row r="76" spans="2:19" ht="13">
      <c r="D76" s="1832" t="s">
        <v>1065</v>
      </c>
      <c r="E76" s="1833"/>
      <c r="F76" s="1833"/>
      <c r="G76" s="1833"/>
      <c r="H76" s="1834"/>
      <c r="I76" s="1132"/>
      <c r="J76" s="1835" t="s">
        <v>1630</v>
      </c>
      <c r="K76" s="1836"/>
      <c r="L76" s="1837"/>
      <c r="M76" s="1132"/>
      <c r="N76" s="1835" t="s">
        <v>1631</v>
      </c>
      <c r="O76" s="1836"/>
      <c r="P76" s="1836"/>
      <c r="Q76" s="1836"/>
      <c r="R76" s="1837"/>
      <c r="S76" s="1132"/>
    </row>
    <row r="77" spans="2:19" ht="13">
      <c r="D77" s="1133" t="s">
        <v>216</v>
      </c>
      <c r="E77" s="1133" t="s">
        <v>217</v>
      </c>
      <c r="F77" s="1133" t="s">
        <v>1565</v>
      </c>
      <c r="G77" s="1133" t="s">
        <v>1566</v>
      </c>
      <c r="H77" s="1133" t="s">
        <v>1567</v>
      </c>
      <c r="I77" s="1132"/>
      <c r="J77" s="1133" t="s">
        <v>1568</v>
      </c>
      <c r="K77" s="1133" t="s">
        <v>1569</v>
      </c>
      <c r="L77" s="1133" t="s">
        <v>1570</v>
      </c>
      <c r="M77" s="1132"/>
      <c r="N77" s="1133" t="s">
        <v>1571</v>
      </c>
      <c r="O77" s="1133" t="s">
        <v>1572</v>
      </c>
      <c r="P77" s="1133" t="s">
        <v>1573</v>
      </c>
      <c r="Q77" s="1133" t="s">
        <v>1574</v>
      </c>
      <c r="R77" s="1133" t="s">
        <v>1575</v>
      </c>
      <c r="S77" s="1132"/>
    </row>
    <row r="78" spans="2:19" ht="50">
      <c r="B78" s="1134" t="s">
        <v>1576</v>
      </c>
      <c r="D78" s="1135" t="s">
        <v>211</v>
      </c>
      <c r="E78" s="1135" t="s">
        <v>1066</v>
      </c>
      <c r="F78" s="1135" t="s">
        <v>1067</v>
      </c>
      <c r="G78" s="1135" t="s">
        <v>1068</v>
      </c>
      <c r="H78" s="1135" t="s">
        <v>1577</v>
      </c>
      <c r="I78" s="1361"/>
      <c r="J78" s="1135" t="s">
        <v>1069</v>
      </c>
      <c r="K78" s="1135" t="s">
        <v>1578</v>
      </c>
      <c r="L78" s="1135" t="s">
        <v>1579</v>
      </c>
      <c r="M78" s="1361"/>
      <c r="N78" s="1135" t="s">
        <v>1158</v>
      </c>
      <c r="O78" s="1135" t="s">
        <v>1580</v>
      </c>
      <c r="P78" s="1135" t="s">
        <v>1581</v>
      </c>
      <c r="Q78" s="1135" t="s">
        <v>1582</v>
      </c>
      <c r="R78" s="1135" t="s">
        <v>1583</v>
      </c>
      <c r="S78" s="1361"/>
    </row>
    <row r="79" spans="2:19">
      <c r="E79" s="1361"/>
      <c r="F79" s="1361"/>
      <c r="G79" s="1361"/>
      <c r="H79" s="1361"/>
      <c r="I79" s="1361"/>
      <c r="J79" s="1361"/>
      <c r="K79" s="1361"/>
      <c r="L79" s="1361"/>
      <c r="M79" s="1361"/>
      <c r="N79" s="1361"/>
      <c r="O79" s="1361"/>
      <c r="P79" s="1361"/>
      <c r="Q79" s="1361"/>
      <c r="R79" s="1361"/>
      <c r="S79" s="1361"/>
    </row>
    <row r="80" spans="2:19">
      <c r="B80" s="1131">
        <f>B73+1</f>
        <v>47</v>
      </c>
      <c r="D80" s="945" t="s">
        <v>1157</v>
      </c>
      <c r="E80" s="1361"/>
      <c r="F80" s="1361"/>
      <c r="G80" s="1361"/>
      <c r="H80" s="1361"/>
      <c r="I80" s="1361"/>
      <c r="J80" s="1136" t="str">
        <f>$J$14</f>
        <v>12/31/2021 (Actual)</v>
      </c>
      <c r="K80" s="1361"/>
      <c r="L80" s="1136">
        <f>'1E - ADIT Amortization'!M91</f>
        <v>0</v>
      </c>
      <c r="M80" s="1361"/>
      <c r="N80" s="1136" t="str">
        <f>$N$14</f>
        <v>12/31/2021 (Actual)</v>
      </c>
      <c r="O80" s="1361"/>
      <c r="P80" s="1361"/>
      <c r="Q80" s="1361"/>
      <c r="R80" s="1136">
        <v>0</v>
      </c>
      <c r="S80" s="1361"/>
    </row>
    <row r="81" spans="2:19">
      <c r="E81" s="1361"/>
      <c r="F81" s="1361"/>
      <c r="G81" s="1361"/>
      <c r="H81" s="1361"/>
      <c r="I81" s="1361"/>
      <c r="J81" s="1361"/>
      <c r="K81" s="1361"/>
      <c r="L81" s="1361"/>
      <c r="M81" s="1361"/>
      <c r="N81" s="1361"/>
      <c r="O81" s="1361"/>
      <c r="P81" s="1361"/>
      <c r="Q81" s="1361"/>
      <c r="R81" s="1361"/>
      <c r="S81" s="1361"/>
    </row>
    <row r="82" spans="2:19">
      <c r="B82" s="1131">
        <f>B80+1</f>
        <v>48</v>
      </c>
      <c r="D82" s="1137" t="s">
        <v>634</v>
      </c>
      <c r="E82" s="1136">
        <v>31</v>
      </c>
      <c r="F82" s="1138">
        <v>0</v>
      </c>
      <c r="G82" s="1138">
        <v>214</v>
      </c>
      <c r="H82" s="1139">
        <f t="shared" ref="H82:H93" si="20">IF(F82=0,0.5,F82/G82)</f>
        <v>0.5</v>
      </c>
      <c r="I82" s="1140"/>
      <c r="J82" s="1136">
        <v>0</v>
      </c>
      <c r="K82" s="1141">
        <f t="shared" ref="K82:K93" si="21">+J82*H82</f>
        <v>0</v>
      </c>
      <c r="L82" s="1141">
        <f>+K82</f>
        <v>0</v>
      </c>
      <c r="M82" s="1140"/>
      <c r="N82" s="1136">
        <v>0</v>
      </c>
      <c r="O82" s="1141">
        <f>IF($D$237="True-Up Adjustment",N82-J82,0)</f>
        <v>0</v>
      </c>
      <c r="P82" s="1141">
        <f>IF($D$237="True-Up Adjustment",IF(AND(J82&gt;=0,N82&gt;=0),IF(O82&gt;=0,K82+O82,N82/J82*K82),IF(AND(J82&lt;0,N82&lt;0),IF(O82&lt;0,K82+O82,N82/J82*K82),0)),0)</f>
        <v>0</v>
      </c>
      <c r="Q82" s="1141">
        <f t="shared" ref="Q82:Q93" si="22">IF(AND(J82&gt;=0,N82&lt;0),N82,IF(AND(J82&lt;0,N82&gt;=0),N82,0))</f>
        <v>0</v>
      </c>
      <c r="R82" s="1141">
        <f>+P82+Q82</f>
        <v>0</v>
      </c>
      <c r="S82" s="1140"/>
    </row>
    <row r="83" spans="2:19">
      <c r="B83" s="1131">
        <f t="shared" ref="B83:B94" si="23">+B82+1</f>
        <v>49</v>
      </c>
      <c r="D83" s="1137" t="s">
        <v>635</v>
      </c>
      <c r="E83" s="1136">
        <v>28</v>
      </c>
      <c r="F83" s="1138">
        <v>0</v>
      </c>
      <c r="G83" s="1138">
        <f t="shared" ref="G83:G93" si="24">G82</f>
        <v>214</v>
      </c>
      <c r="H83" s="1139">
        <f t="shared" si="20"/>
        <v>0.5</v>
      </c>
      <c r="I83" s="1140"/>
      <c r="J83" s="1136">
        <v>0</v>
      </c>
      <c r="K83" s="1141">
        <f t="shared" si="21"/>
        <v>0</v>
      </c>
      <c r="L83" s="1141">
        <f t="shared" ref="L83:L93" si="25">+K83+L82</f>
        <v>0</v>
      </c>
      <c r="M83" s="1140"/>
      <c r="N83" s="1136">
        <v>0</v>
      </c>
      <c r="O83" s="1141">
        <f t="shared" ref="O83:O93" si="26">IF($D$237="True-Up Adjustment",N83-J83,0)</f>
        <v>0</v>
      </c>
      <c r="P83" s="1141">
        <f t="shared" ref="P83:P93" si="27">IF($D$237="True-Up Adjustment",IF(AND(J83&gt;=0,N83&gt;=0),IF(O83&gt;=0,K83+O83,N83/J83*K83),IF(AND(J83&lt;0,N83&lt;0),IF(O83&lt;0,K83+O83,N83/J83*K83),0)),0)</f>
        <v>0</v>
      </c>
      <c r="Q83" s="1141">
        <f t="shared" si="22"/>
        <v>0</v>
      </c>
      <c r="R83" s="1141">
        <f t="shared" ref="R83:R93" si="28">R82+P83+Q83</f>
        <v>0</v>
      </c>
      <c r="S83" s="1140"/>
    </row>
    <row r="84" spans="2:19">
      <c r="B84" s="1131">
        <f t="shared" si="23"/>
        <v>50</v>
      </c>
      <c r="D84" s="1137" t="s">
        <v>662</v>
      </c>
      <c r="E84" s="1136">
        <v>31</v>
      </c>
      <c r="F84" s="1138">
        <v>0</v>
      </c>
      <c r="G84" s="1138">
        <f t="shared" si="24"/>
        <v>214</v>
      </c>
      <c r="H84" s="1139">
        <f t="shared" si="20"/>
        <v>0.5</v>
      </c>
      <c r="I84" s="1140"/>
      <c r="J84" s="1136">
        <v>0</v>
      </c>
      <c r="K84" s="1141">
        <f t="shared" si="21"/>
        <v>0</v>
      </c>
      <c r="L84" s="1141">
        <f t="shared" si="25"/>
        <v>0</v>
      </c>
      <c r="M84" s="1140"/>
      <c r="N84" s="1136">
        <v>0</v>
      </c>
      <c r="O84" s="1141">
        <f t="shared" si="26"/>
        <v>0</v>
      </c>
      <c r="P84" s="1141">
        <f t="shared" si="27"/>
        <v>0</v>
      </c>
      <c r="Q84" s="1141">
        <f t="shared" si="22"/>
        <v>0</v>
      </c>
      <c r="R84" s="1141">
        <f t="shared" si="28"/>
        <v>0</v>
      </c>
      <c r="S84" s="1140"/>
    </row>
    <row r="85" spans="2:19">
      <c r="B85" s="1131">
        <f t="shared" si="23"/>
        <v>51</v>
      </c>
      <c r="D85" s="1137" t="s">
        <v>213</v>
      </c>
      <c r="E85" s="1136">
        <v>30</v>
      </c>
      <c r="F85" s="1138">
        <v>0</v>
      </c>
      <c r="G85" s="1138">
        <f t="shared" si="24"/>
        <v>214</v>
      </c>
      <c r="H85" s="1139">
        <f t="shared" si="20"/>
        <v>0.5</v>
      </c>
      <c r="I85" s="1140"/>
      <c r="J85" s="1136">
        <v>0</v>
      </c>
      <c r="K85" s="1141">
        <f t="shared" si="21"/>
        <v>0</v>
      </c>
      <c r="L85" s="1141">
        <f t="shared" si="25"/>
        <v>0</v>
      </c>
      <c r="M85" s="1140"/>
      <c r="N85" s="1136">
        <v>0</v>
      </c>
      <c r="O85" s="1141">
        <f t="shared" si="26"/>
        <v>0</v>
      </c>
      <c r="P85" s="1141">
        <f t="shared" si="27"/>
        <v>0</v>
      </c>
      <c r="Q85" s="1141">
        <f t="shared" si="22"/>
        <v>0</v>
      </c>
      <c r="R85" s="1141">
        <f t="shared" si="28"/>
        <v>0</v>
      </c>
      <c r="S85" s="1140"/>
    </row>
    <row r="86" spans="2:19">
      <c r="B86" s="1131">
        <f t="shared" si="23"/>
        <v>52</v>
      </c>
      <c r="D86" s="1137" t="s">
        <v>214</v>
      </c>
      <c r="E86" s="1136">
        <v>31</v>
      </c>
      <c r="F86" s="1138">
        <v>0</v>
      </c>
      <c r="G86" s="1138">
        <f t="shared" si="24"/>
        <v>214</v>
      </c>
      <c r="H86" s="1139">
        <f t="shared" si="20"/>
        <v>0.5</v>
      </c>
      <c r="I86" s="1140"/>
      <c r="J86" s="1136">
        <v>0</v>
      </c>
      <c r="K86" s="1141">
        <f t="shared" si="21"/>
        <v>0</v>
      </c>
      <c r="L86" s="1141">
        <f t="shared" si="25"/>
        <v>0</v>
      </c>
      <c r="M86" s="1140"/>
      <c r="N86" s="1136">
        <v>0</v>
      </c>
      <c r="O86" s="1141">
        <f t="shared" si="26"/>
        <v>0</v>
      </c>
      <c r="P86" s="1141">
        <f t="shared" si="27"/>
        <v>0</v>
      </c>
      <c r="Q86" s="1141">
        <f t="shared" si="22"/>
        <v>0</v>
      </c>
      <c r="R86" s="1141">
        <f t="shared" si="28"/>
        <v>0</v>
      </c>
      <c r="S86" s="1140"/>
    </row>
    <row r="87" spans="2:19">
      <c r="B87" s="1131">
        <f t="shared" si="23"/>
        <v>53</v>
      </c>
      <c r="D87" s="1137" t="s">
        <v>215</v>
      </c>
      <c r="E87" s="1136">
        <v>30</v>
      </c>
      <c r="F87" s="1138">
        <f t="shared" ref="F87:F92" si="29">E88+F88</f>
        <v>185</v>
      </c>
      <c r="G87" s="1138">
        <f t="shared" si="24"/>
        <v>214</v>
      </c>
      <c r="H87" s="1139">
        <f t="shared" si="20"/>
        <v>0.86448598130841126</v>
      </c>
      <c r="I87" s="1140"/>
      <c r="J87" s="1136">
        <v>0</v>
      </c>
      <c r="K87" s="1141">
        <f t="shared" si="21"/>
        <v>0</v>
      </c>
      <c r="L87" s="1141">
        <f t="shared" si="25"/>
        <v>0</v>
      </c>
      <c r="M87" s="1140"/>
      <c r="N87" s="1136">
        <v>0</v>
      </c>
      <c r="O87" s="1141">
        <f t="shared" si="26"/>
        <v>0</v>
      </c>
      <c r="P87" s="1141">
        <f t="shared" si="27"/>
        <v>0</v>
      </c>
      <c r="Q87" s="1141">
        <f t="shared" si="22"/>
        <v>0</v>
      </c>
      <c r="R87" s="1141">
        <f t="shared" si="28"/>
        <v>0</v>
      </c>
      <c r="S87" s="1140"/>
    </row>
    <row r="88" spans="2:19">
      <c r="B88" s="1131">
        <f t="shared" si="23"/>
        <v>54</v>
      </c>
      <c r="D88" s="1137" t="s">
        <v>637</v>
      </c>
      <c r="E88" s="1136">
        <v>31</v>
      </c>
      <c r="F88" s="1138">
        <f t="shared" si="29"/>
        <v>154</v>
      </c>
      <c r="G88" s="1138">
        <f t="shared" si="24"/>
        <v>214</v>
      </c>
      <c r="H88" s="1139">
        <f t="shared" si="20"/>
        <v>0.71962616822429903</v>
      </c>
      <c r="I88" s="1140"/>
      <c r="J88" s="1136">
        <v>0</v>
      </c>
      <c r="K88" s="1141">
        <f t="shared" si="21"/>
        <v>0</v>
      </c>
      <c r="L88" s="1141">
        <f t="shared" si="25"/>
        <v>0</v>
      </c>
      <c r="M88" s="1140"/>
      <c r="N88" s="1136">
        <v>0</v>
      </c>
      <c r="O88" s="1141">
        <f t="shared" si="26"/>
        <v>0</v>
      </c>
      <c r="P88" s="1141">
        <f t="shared" si="27"/>
        <v>0</v>
      </c>
      <c r="Q88" s="1141">
        <f t="shared" si="22"/>
        <v>0</v>
      </c>
      <c r="R88" s="1141">
        <f t="shared" si="28"/>
        <v>0</v>
      </c>
      <c r="S88" s="1140"/>
    </row>
    <row r="89" spans="2:19">
      <c r="B89" s="1131">
        <f t="shared" si="23"/>
        <v>55</v>
      </c>
      <c r="D89" s="1137" t="s">
        <v>663</v>
      </c>
      <c r="E89" s="1136">
        <v>31</v>
      </c>
      <c r="F89" s="1138">
        <f t="shared" si="29"/>
        <v>123</v>
      </c>
      <c r="G89" s="1138">
        <f t="shared" si="24"/>
        <v>214</v>
      </c>
      <c r="H89" s="1139">
        <f t="shared" si="20"/>
        <v>0.57476635514018692</v>
      </c>
      <c r="I89" s="1140"/>
      <c r="J89" s="1136">
        <v>0</v>
      </c>
      <c r="K89" s="1141">
        <f t="shared" si="21"/>
        <v>0</v>
      </c>
      <c r="L89" s="1141">
        <f t="shared" si="25"/>
        <v>0</v>
      </c>
      <c r="M89" s="1140"/>
      <c r="N89" s="1136">
        <v>0</v>
      </c>
      <c r="O89" s="1141">
        <f t="shared" si="26"/>
        <v>0</v>
      </c>
      <c r="P89" s="1141">
        <f t="shared" si="27"/>
        <v>0</v>
      </c>
      <c r="Q89" s="1141">
        <f t="shared" si="22"/>
        <v>0</v>
      </c>
      <c r="R89" s="1141">
        <f t="shared" si="28"/>
        <v>0</v>
      </c>
      <c r="S89" s="1140"/>
    </row>
    <row r="90" spans="2:19">
      <c r="B90" s="1131">
        <f t="shared" si="23"/>
        <v>56</v>
      </c>
      <c r="D90" s="1137" t="s">
        <v>639</v>
      </c>
      <c r="E90" s="1136">
        <v>30</v>
      </c>
      <c r="F90" s="1138">
        <f t="shared" si="29"/>
        <v>93</v>
      </c>
      <c r="G90" s="1138">
        <f t="shared" si="24"/>
        <v>214</v>
      </c>
      <c r="H90" s="1139">
        <f t="shared" si="20"/>
        <v>0.43457943925233644</v>
      </c>
      <c r="I90" s="1140"/>
      <c r="J90" s="1136">
        <v>0</v>
      </c>
      <c r="K90" s="1141">
        <f t="shared" si="21"/>
        <v>0</v>
      </c>
      <c r="L90" s="1141">
        <f t="shared" si="25"/>
        <v>0</v>
      </c>
      <c r="M90" s="1140"/>
      <c r="N90" s="1136">
        <v>0</v>
      </c>
      <c r="O90" s="1141">
        <f t="shared" si="26"/>
        <v>0</v>
      </c>
      <c r="P90" s="1141">
        <f t="shared" si="27"/>
        <v>0</v>
      </c>
      <c r="Q90" s="1141">
        <f t="shared" si="22"/>
        <v>0</v>
      </c>
      <c r="R90" s="1141">
        <f t="shared" si="28"/>
        <v>0</v>
      </c>
      <c r="S90" s="1140"/>
    </row>
    <row r="91" spans="2:19">
      <c r="B91" s="1131">
        <f t="shared" si="23"/>
        <v>57</v>
      </c>
      <c r="D91" s="1137" t="s">
        <v>640</v>
      </c>
      <c r="E91" s="1136">
        <v>31</v>
      </c>
      <c r="F91" s="1138">
        <f t="shared" si="29"/>
        <v>62</v>
      </c>
      <c r="G91" s="1138">
        <f t="shared" si="24"/>
        <v>214</v>
      </c>
      <c r="H91" s="1139">
        <f t="shared" si="20"/>
        <v>0.28971962616822428</v>
      </c>
      <c r="I91" s="1140"/>
      <c r="J91" s="1136">
        <v>0</v>
      </c>
      <c r="K91" s="1141">
        <f t="shared" si="21"/>
        <v>0</v>
      </c>
      <c r="L91" s="1141">
        <f t="shared" si="25"/>
        <v>0</v>
      </c>
      <c r="M91" s="1140"/>
      <c r="N91" s="1136">
        <v>0</v>
      </c>
      <c r="O91" s="1141">
        <f t="shared" si="26"/>
        <v>0</v>
      </c>
      <c r="P91" s="1141">
        <f t="shared" si="27"/>
        <v>0</v>
      </c>
      <c r="Q91" s="1141">
        <f t="shared" si="22"/>
        <v>0</v>
      </c>
      <c r="R91" s="1141">
        <f t="shared" si="28"/>
        <v>0</v>
      </c>
      <c r="S91" s="1140"/>
    </row>
    <row r="92" spans="2:19">
      <c r="B92" s="1131">
        <f t="shared" si="23"/>
        <v>58</v>
      </c>
      <c r="D92" s="1137" t="s">
        <v>641</v>
      </c>
      <c r="E92" s="1136">
        <v>30</v>
      </c>
      <c r="F92" s="1138">
        <f t="shared" si="29"/>
        <v>32</v>
      </c>
      <c r="G92" s="1138">
        <f t="shared" si="24"/>
        <v>214</v>
      </c>
      <c r="H92" s="1139">
        <f t="shared" si="20"/>
        <v>0.14953271028037382</v>
      </c>
      <c r="I92" s="1140"/>
      <c r="J92" s="1136">
        <v>0</v>
      </c>
      <c r="K92" s="1141">
        <f t="shared" si="21"/>
        <v>0</v>
      </c>
      <c r="L92" s="1141">
        <f t="shared" si="25"/>
        <v>0</v>
      </c>
      <c r="M92" s="1140"/>
      <c r="N92" s="1136">
        <v>0</v>
      </c>
      <c r="O92" s="1141">
        <f t="shared" si="26"/>
        <v>0</v>
      </c>
      <c r="P92" s="1141">
        <f t="shared" si="27"/>
        <v>0</v>
      </c>
      <c r="Q92" s="1141">
        <f t="shared" si="22"/>
        <v>0</v>
      </c>
      <c r="R92" s="1141">
        <f t="shared" si="28"/>
        <v>0</v>
      </c>
      <c r="S92" s="1140"/>
    </row>
    <row r="93" spans="2:19">
      <c r="B93" s="1131">
        <f t="shared" si="23"/>
        <v>59</v>
      </c>
      <c r="D93" s="1142" t="s">
        <v>895</v>
      </c>
      <c r="E93" s="1136">
        <v>31</v>
      </c>
      <c r="F93" s="1143">
        <v>1</v>
      </c>
      <c r="G93" s="1138">
        <f t="shared" si="24"/>
        <v>214</v>
      </c>
      <c r="H93" s="1139">
        <f t="shared" si="20"/>
        <v>4.6728971962616819E-3</v>
      </c>
      <c r="I93" s="1140"/>
      <c r="J93" s="1136">
        <v>0</v>
      </c>
      <c r="K93" s="1141">
        <f t="shared" si="21"/>
        <v>0</v>
      </c>
      <c r="L93" s="1141">
        <f t="shared" si="25"/>
        <v>0</v>
      </c>
      <c r="M93" s="1140"/>
      <c r="N93" s="1136">
        <v>0</v>
      </c>
      <c r="O93" s="1141">
        <f t="shared" si="26"/>
        <v>0</v>
      </c>
      <c r="P93" s="1141">
        <f t="shared" si="27"/>
        <v>0</v>
      </c>
      <c r="Q93" s="1141">
        <f t="shared" si="22"/>
        <v>0</v>
      </c>
      <c r="R93" s="1141">
        <f t="shared" si="28"/>
        <v>0</v>
      </c>
      <c r="S93" s="1140"/>
    </row>
    <row r="94" spans="2:19">
      <c r="B94" s="1131">
        <f t="shared" si="23"/>
        <v>60</v>
      </c>
      <c r="D94" s="1144" t="str">
        <f>"Total (Sum of Lines "&amp;B82&amp;" - "&amp;B93&amp;")"</f>
        <v>Total (Sum of Lines 48 - 59)</v>
      </c>
      <c r="E94" s="1145">
        <f>SUM(E82:E93)</f>
        <v>365</v>
      </c>
      <c r="F94" s="1146"/>
      <c r="G94" s="1146"/>
      <c r="H94" s="1147"/>
      <c r="I94" s="1148"/>
      <c r="J94" s="1145">
        <f>SUM(J82:J93)</f>
        <v>0</v>
      </c>
      <c r="K94" s="1145">
        <f>SUM(K82:K93)</f>
        <v>0</v>
      </c>
      <c r="L94" s="1149"/>
      <c r="M94" s="1148"/>
      <c r="N94" s="1145">
        <f>SUM(N82:N93)</f>
        <v>0</v>
      </c>
      <c r="O94" s="1145">
        <f>SUM(O82:O93)</f>
        <v>0</v>
      </c>
      <c r="P94" s="1145">
        <f>SUM(P82:P93)</f>
        <v>0</v>
      </c>
      <c r="Q94" s="1145">
        <f>SUM(Q82:Q93)</f>
        <v>0</v>
      </c>
      <c r="R94" s="1149"/>
      <c r="S94" s="1148"/>
    </row>
    <row r="95" spans="2:19">
      <c r="D95" s="1150"/>
      <c r="E95" s="1150"/>
      <c r="F95" s="1150"/>
      <c r="G95" s="1150"/>
      <c r="H95" s="1151"/>
      <c r="I95" s="1151"/>
      <c r="K95" s="1152"/>
      <c r="L95" s="1151"/>
      <c r="M95" s="1151"/>
      <c r="N95" s="1162"/>
      <c r="O95" s="1152"/>
      <c r="P95" s="1152"/>
      <c r="Q95" s="1152"/>
      <c r="R95" s="1151"/>
      <c r="S95" s="1151"/>
    </row>
    <row r="96" spans="2:19">
      <c r="B96" s="1131">
        <f>B94+1</f>
        <v>61</v>
      </c>
      <c r="D96" s="945" t="s">
        <v>1633</v>
      </c>
      <c r="I96" s="1151"/>
      <c r="J96" s="1136" t="str">
        <f>$J$30</f>
        <v>12/31/2021 (Actual)</v>
      </c>
      <c r="L96" s="1136">
        <f>'1E - ADIT Amortization'!$M$73+'1E - ADIT Amortization'!$M$82</f>
        <v>0</v>
      </c>
      <c r="M96" s="1153"/>
      <c r="N96" s="1136" t="str">
        <f>$J$14</f>
        <v>12/31/2021 (Actual)</v>
      </c>
      <c r="R96" s="1136">
        <f>'1E - ADIT Amortization'!$M$73+'1E - ADIT Amortization'!$M$82</f>
        <v>0</v>
      </c>
    </row>
    <row r="97" spans="2:19">
      <c r="B97" s="1131">
        <f>B96+1</f>
        <v>62</v>
      </c>
      <c r="D97" s="945" t="s">
        <v>1634</v>
      </c>
      <c r="I97" s="1151"/>
      <c r="J97" s="1154" t="s">
        <v>757</v>
      </c>
      <c r="L97" s="1155">
        <v>0</v>
      </c>
      <c r="M97" s="1156"/>
      <c r="N97" s="1154" t="s">
        <v>757</v>
      </c>
      <c r="R97" s="1155">
        <v>0</v>
      </c>
    </row>
    <row r="98" spans="2:19">
      <c r="B98" s="1131">
        <f>B97+1</f>
        <v>63</v>
      </c>
      <c r="D98" s="945" t="s">
        <v>1635</v>
      </c>
      <c r="I98" s="1151"/>
      <c r="J98" s="1144" t="str">
        <f>"(Col. "&amp;L77&amp;", Line "&amp;B96&amp;" + Line "&amp;B97&amp;")"</f>
        <v>(Col. (H), Line 61 + Line 62)</v>
      </c>
      <c r="L98" s="1157">
        <f>L96+L97</f>
        <v>0</v>
      </c>
      <c r="M98" s="1151"/>
      <c r="N98" s="1144" t="str">
        <f>"(Col. "&amp;R77&amp;", Line "&amp;B96&amp;" + Line "&amp;B97&amp;")"</f>
        <v>(Col. (M), Line 61 + Line 62)</v>
      </c>
      <c r="R98" s="1157">
        <f>R96+R97</f>
        <v>0</v>
      </c>
    </row>
    <row r="99" spans="2:19">
      <c r="I99" s="1151"/>
      <c r="L99" s="1157"/>
      <c r="M99" s="1151"/>
      <c r="R99" s="1157"/>
    </row>
    <row r="100" spans="2:19">
      <c r="B100" s="1131">
        <f>B98+1</f>
        <v>64</v>
      </c>
      <c r="D100" s="945" t="s">
        <v>1636</v>
      </c>
      <c r="I100" s="1151"/>
      <c r="J100" s="1136" t="str">
        <f>$J$34</f>
        <v>2022 Projected</v>
      </c>
      <c r="L100" s="1136">
        <f>'1E - ADIT Amortization'!Q73+'1E - ADIT Amortization'!Q82</f>
        <v>0</v>
      </c>
      <c r="M100" s="1153"/>
      <c r="N100" s="1136" t="str">
        <f>$N$34</f>
        <v>12/31/2022 (Actual)</v>
      </c>
      <c r="R100" s="1136">
        <v>0</v>
      </c>
    </row>
    <row r="101" spans="2:19">
      <c r="B101" s="1131">
        <f>B100+1</f>
        <v>65</v>
      </c>
      <c r="D101" s="945" t="s">
        <v>1637</v>
      </c>
      <c r="I101" s="1151"/>
      <c r="J101" s="1154" t="s">
        <v>757</v>
      </c>
      <c r="L101" s="1155">
        <v>0</v>
      </c>
      <c r="M101" s="1151"/>
      <c r="N101" s="1154" t="s">
        <v>757</v>
      </c>
      <c r="R101" s="1155">
        <v>0</v>
      </c>
    </row>
    <row r="102" spans="2:19">
      <c r="B102" s="1131">
        <f>B101+1</f>
        <v>66</v>
      </c>
      <c r="D102" s="945" t="s">
        <v>1638</v>
      </c>
      <c r="I102" s="1151"/>
      <c r="J102" s="1144" t="str">
        <f>"(Col. "&amp;L77&amp;", Line "&amp;B100&amp;" + Line "&amp;B101&amp;")"</f>
        <v>(Col. (H), Line 64 + Line 65)</v>
      </c>
      <c r="L102" s="1157">
        <f>L100+L101</f>
        <v>0</v>
      </c>
      <c r="M102" s="1151"/>
      <c r="N102" s="1144" t="str">
        <f>"(Col. "&amp;R77&amp;", Line "&amp;B100&amp;" + Line "&amp;B101&amp;")"</f>
        <v>(Col. (M), Line 64 + Line 65)</v>
      </c>
      <c r="R102" s="1157">
        <f>R100+R101</f>
        <v>0</v>
      </c>
    </row>
    <row r="103" spans="2:19">
      <c r="I103" s="1151"/>
      <c r="L103" s="1157"/>
      <c r="M103" s="1151"/>
      <c r="R103" s="1157"/>
    </row>
    <row r="104" spans="2:19">
      <c r="B104" s="1131">
        <f>B102+1</f>
        <v>67</v>
      </c>
      <c r="D104" s="945" t="s">
        <v>1155</v>
      </c>
      <c r="I104" s="1151"/>
      <c r="J104" s="1144" t="str">
        <f>"([Col. "&amp;L77&amp;", Line "&amp;B98&amp;" + Line "&amp;B102&amp;"] /2)"</f>
        <v>([Col. (H), Line 63 + Line 66] /2)</v>
      </c>
      <c r="L104" s="1141">
        <f>(L98+L102)/2</f>
        <v>0</v>
      </c>
      <c r="M104" s="1151"/>
      <c r="N104" s="1144" t="str">
        <f>"([Col. "&amp;R77&amp;", Line "&amp;B98&amp;" + Line "&amp;B102&amp;"] /2)"</f>
        <v>([Col. (M), Line 63 + Line 66] /2)</v>
      </c>
      <c r="R104" s="1141">
        <f>(R98+R102)/2</f>
        <v>0</v>
      </c>
    </row>
    <row r="105" spans="2:19">
      <c r="B105" s="1131">
        <f>B104+1</f>
        <v>68</v>
      </c>
      <c r="D105" s="1250" t="s">
        <v>1639</v>
      </c>
      <c r="E105" s="1150"/>
      <c r="F105" s="1150"/>
      <c r="G105" s="1150"/>
      <c r="H105" s="1151"/>
      <c r="I105" s="1151"/>
      <c r="J105" s="1144" t="str">
        <f>"(Col. "&amp;L77&amp;", Line "&amp;B93&amp;" )"</f>
        <v>(Col. (H), Line 59 )</v>
      </c>
      <c r="K105" s="1152"/>
      <c r="L105" s="1141">
        <f>L93</f>
        <v>0</v>
      </c>
      <c r="M105" s="1151"/>
      <c r="N105" s="1144" t="str">
        <f>"(Col. "&amp;R77&amp;", Line "&amp;B93&amp;" )"</f>
        <v>(Col. (M), Line 59 )</v>
      </c>
      <c r="R105" s="1141">
        <f>R93</f>
        <v>0</v>
      </c>
    </row>
    <row r="106" spans="2:19" ht="13.5" thickBot="1">
      <c r="B106" s="1131">
        <f>B105+1</f>
        <v>69</v>
      </c>
      <c r="D106" s="1158" t="s">
        <v>1644</v>
      </c>
      <c r="E106" s="1150"/>
      <c r="F106" s="1150"/>
      <c r="G106" s="1150"/>
      <c r="H106" s="1151"/>
      <c r="I106" s="1151"/>
      <c r="J106" s="1144" t="str">
        <f>"(Col. "&amp;L77&amp;", Line "&amp;B104&amp;" + Line "&amp;B105&amp;")"</f>
        <v>(Col. (H), Line 67 + Line 68)</v>
      </c>
      <c r="K106" s="1152"/>
      <c r="L106" s="1159">
        <f>L104+L105</f>
        <v>0</v>
      </c>
      <c r="M106" s="1151"/>
      <c r="N106" s="1144" t="str">
        <f>"(Col. "&amp;R77&amp;", Line "&amp;B104&amp;" + Line "&amp;B105&amp;")"</f>
        <v>(Col. (M), Line 67 + Line 68)</v>
      </c>
      <c r="R106" s="1159">
        <f>R104+R105</f>
        <v>0</v>
      </c>
    </row>
    <row r="107" spans="2:19">
      <c r="D107" s="1150"/>
      <c r="E107" s="1150"/>
      <c r="F107" s="1150"/>
      <c r="G107" s="1150"/>
      <c r="H107" s="1151"/>
      <c r="I107" s="1151"/>
      <c r="K107" s="1152"/>
      <c r="L107" s="1151"/>
      <c r="M107" s="1151"/>
      <c r="O107" s="1152"/>
      <c r="P107" s="1152"/>
      <c r="Q107" s="1152"/>
      <c r="R107" s="1151"/>
      <c r="S107" s="1151"/>
    </row>
    <row r="108" spans="2:19">
      <c r="D108" s="1150"/>
      <c r="E108" s="1150"/>
      <c r="F108" s="1150" t="s">
        <v>101</v>
      </c>
      <c r="G108" s="1150"/>
      <c r="H108" s="1151"/>
      <c r="I108" s="1151"/>
      <c r="K108" s="1152"/>
      <c r="L108" s="1151"/>
      <c r="M108" s="1151"/>
      <c r="O108" s="1152"/>
      <c r="P108" s="1152"/>
      <c r="Q108" s="1152"/>
      <c r="R108" s="1151"/>
      <c r="S108" s="1151"/>
    </row>
    <row r="109" spans="2:19" ht="13">
      <c r="D109" s="1850" t="s">
        <v>1645</v>
      </c>
      <c r="E109" s="1850"/>
      <c r="F109" s="1850"/>
      <c r="G109" s="1850"/>
      <c r="H109" s="1848"/>
      <c r="I109" s="1151"/>
      <c r="J109" s="1848" t="s">
        <v>1646</v>
      </c>
      <c r="K109" s="1848"/>
      <c r="L109" s="1848"/>
      <c r="M109" s="1848"/>
      <c r="N109" s="1848"/>
      <c r="O109" s="1152"/>
      <c r="P109" s="1152"/>
      <c r="Q109" s="1152"/>
      <c r="R109" s="1151"/>
      <c r="S109" s="1151"/>
    </row>
    <row r="110" spans="2:19" ht="12.75" customHeight="1">
      <c r="B110" s="1846" t="s">
        <v>1576</v>
      </c>
      <c r="C110" s="1360"/>
      <c r="D110" s="1355" t="s">
        <v>216</v>
      </c>
      <c r="E110" s="1356"/>
      <c r="F110" s="1355" t="s">
        <v>217</v>
      </c>
      <c r="G110" s="1357"/>
      <c r="H110" s="1354" t="s">
        <v>1565</v>
      </c>
      <c r="I110" s="1132"/>
      <c r="J110" s="1355" t="s">
        <v>1566</v>
      </c>
      <c r="K110" s="1356"/>
      <c r="L110" s="1355" t="s">
        <v>1567</v>
      </c>
      <c r="M110" s="1357"/>
      <c r="N110" s="1354" t="s">
        <v>1568</v>
      </c>
    </row>
    <row r="111" spans="2:19" ht="26">
      <c r="B111" s="1847"/>
      <c r="C111" s="1360"/>
      <c r="D111" s="1251" t="s">
        <v>1647</v>
      </c>
      <c r="E111" s="1252"/>
      <c r="F111" s="1253" t="s">
        <v>1648</v>
      </c>
      <c r="G111" s="1254"/>
      <c r="H111" s="1255" t="s">
        <v>1649</v>
      </c>
      <c r="J111" s="1256" t="s">
        <v>1647</v>
      </c>
      <c r="K111" s="1257"/>
      <c r="L111" s="1258" t="s">
        <v>1648</v>
      </c>
      <c r="M111" s="1259"/>
      <c r="N111" s="1255" t="s">
        <v>1649</v>
      </c>
      <c r="O111" s="1152"/>
      <c r="P111" s="1152"/>
      <c r="Q111" s="1152"/>
      <c r="R111" s="1151"/>
      <c r="S111" s="1151"/>
    </row>
    <row r="112" spans="2:19" ht="5.15" customHeight="1">
      <c r="B112" s="945"/>
      <c r="E112" s="1150"/>
      <c r="K112" s="1150"/>
      <c r="O112" s="1152"/>
      <c r="P112" s="1152"/>
      <c r="Q112" s="1152"/>
      <c r="R112" s="1151"/>
      <c r="S112" s="1151"/>
    </row>
    <row r="113" spans="2:19">
      <c r="B113" s="1131">
        <f>B106+1</f>
        <v>70</v>
      </c>
      <c r="D113" s="1260" t="s">
        <v>1650</v>
      </c>
      <c r="F113" s="1261" t="str">
        <f>"(Col. "&amp;L11&amp;", Line "&amp;B40&amp;")"</f>
        <v>(Col. (H), Line 23)</v>
      </c>
      <c r="G113" s="1262"/>
      <c r="H113" s="1263">
        <f>L40</f>
        <v>1000863.0827697578</v>
      </c>
      <c r="I113" s="1262"/>
      <c r="J113" s="1260" t="s">
        <v>1650</v>
      </c>
      <c r="L113" s="1261" t="str">
        <f>"(Col. "&amp;R11&amp;", Line "&amp;B40&amp;")"</f>
        <v>(Col. (M), Line 23)</v>
      </c>
      <c r="M113" s="1262"/>
      <c r="N113" s="1263">
        <f>R40</f>
        <v>1000863.0827697578</v>
      </c>
      <c r="O113" s="1152"/>
      <c r="P113" s="1152"/>
      <c r="Q113" s="1152"/>
      <c r="R113" s="1151"/>
      <c r="S113" s="1151"/>
    </row>
    <row r="114" spans="2:19">
      <c r="B114" s="1131">
        <f>B113+1</f>
        <v>71</v>
      </c>
      <c r="D114" s="1260" t="s">
        <v>1651</v>
      </c>
      <c r="F114" s="1261" t="str">
        <f>"(Col. "&amp;L44&amp;", Line "&amp;B73&amp;")"</f>
        <v>(Col. (H), Line 46)</v>
      </c>
      <c r="H114" s="1264">
        <f>L73</f>
        <v>-54895799.607230693</v>
      </c>
      <c r="J114" s="1260" t="s">
        <v>1651</v>
      </c>
      <c r="L114" s="1261" t="str">
        <f>"(Col. "&amp;R44&amp;", Line "&amp;B73&amp;")"</f>
        <v>(Col. (M), Line 46)</v>
      </c>
      <c r="N114" s="1264">
        <f>R73</f>
        <v>-54917437.854894251</v>
      </c>
      <c r="O114" s="1152"/>
      <c r="P114" s="1152"/>
      <c r="Q114" s="1152"/>
      <c r="R114" s="1151"/>
      <c r="S114" s="1151"/>
    </row>
    <row r="115" spans="2:19">
      <c r="B115" s="1131">
        <f>B114+1</f>
        <v>72</v>
      </c>
      <c r="D115" s="1260" t="s">
        <v>1652</v>
      </c>
      <c r="F115" s="1261" t="str">
        <f>"(Col. "&amp;L77&amp;", Line "&amp;B106&amp;")"</f>
        <v>(Col. (H), Line 69)</v>
      </c>
      <c r="H115" s="1264">
        <f>L106</f>
        <v>0</v>
      </c>
      <c r="J115" s="1260" t="s">
        <v>1652</v>
      </c>
      <c r="L115" s="1261" t="str">
        <f>"(Col. "&amp;R77&amp;", Line "&amp;B106&amp;")"</f>
        <v>(Col. (M), Line 69)</v>
      </c>
      <c r="N115" s="1264">
        <f>R106</f>
        <v>0</v>
      </c>
      <c r="O115" s="1152"/>
      <c r="P115" s="1152"/>
      <c r="Q115" s="1152"/>
      <c r="R115" s="1151"/>
      <c r="S115" s="1151"/>
    </row>
    <row r="116" spans="2:19" ht="5.15" customHeight="1">
      <c r="D116" s="1150"/>
      <c r="E116" s="1150"/>
      <c r="J116" s="1150"/>
      <c r="K116" s="1150"/>
      <c r="O116" s="1152"/>
      <c r="P116" s="1152"/>
      <c r="Q116" s="1152"/>
      <c r="R116" s="1151"/>
      <c r="S116" s="1151"/>
    </row>
    <row r="117" spans="2:19" ht="13">
      <c r="B117" s="1131">
        <f>B115+1</f>
        <v>73</v>
      </c>
      <c r="D117" s="14" t="s">
        <v>1439</v>
      </c>
      <c r="E117" s="1150"/>
      <c r="F117" s="1261" t="s">
        <v>1875</v>
      </c>
      <c r="G117" s="1265"/>
      <c r="H117" s="1266">
        <f>SUM(H113:H116)</f>
        <v>-53894936.524460934</v>
      </c>
      <c r="I117" s="1265"/>
      <c r="J117" s="14" t="s">
        <v>1439</v>
      </c>
      <c r="K117" s="1150"/>
      <c r="L117" s="1267" t="s">
        <v>1875</v>
      </c>
      <c r="M117" s="1265"/>
      <c r="N117" s="1266">
        <f>SUM(N113:N116)</f>
        <v>-53916574.772124492</v>
      </c>
      <c r="O117" s="1152"/>
      <c r="P117" s="1152"/>
      <c r="Q117" s="1152"/>
      <c r="R117" s="1151"/>
      <c r="S117" s="1151"/>
    </row>
    <row r="118" spans="2:19">
      <c r="D118" s="1150"/>
      <c r="E118" s="1150"/>
      <c r="F118" s="1150"/>
      <c r="G118" s="1150"/>
      <c r="H118" s="1150"/>
      <c r="I118" s="1151"/>
      <c r="J118" s="1152"/>
      <c r="K118" s="1152"/>
      <c r="L118" s="1151"/>
      <c r="M118" s="1151"/>
      <c r="O118" s="1152"/>
      <c r="P118" s="1152"/>
      <c r="Q118" s="1152"/>
      <c r="R118" s="1151"/>
      <c r="S118" s="1151"/>
    </row>
    <row r="119" spans="2:19">
      <c r="D119" s="1150"/>
      <c r="E119" s="1150"/>
      <c r="F119" s="1150"/>
      <c r="G119" s="1150"/>
      <c r="H119" s="1151"/>
      <c r="I119" s="1151"/>
      <c r="K119" s="1152"/>
      <c r="L119" s="1151"/>
      <c r="M119" s="1151"/>
      <c r="O119" s="1152"/>
      <c r="P119" s="1152"/>
      <c r="Q119" s="1152"/>
      <c r="R119" s="1151"/>
      <c r="S119" s="1151"/>
    </row>
    <row r="120" spans="2:19" ht="15.75" customHeight="1">
      <c r="B120" s="1849" t="s">
        <v>1653</v>
      </c>
      <c r="C120" s="1849"/>
      <c r="D120" s="1849"/>
      <c r="E120" s="1849"/>
      <c r="F120" s="1849"/>
      <c r="G120" s="1849"/>
      <c r="H120" s="1849"/>
      <c r="I120" s="1849"/>
      <c r="J120" s="1849"/>
      <c r="K120" s="1849"/>
      <c r="L120" s="1849"/>
      <c r="M120" s="1849"/>
      <c r="N120" s="1849"/>
      <c r="O120" s="1849"/>
      <c r="P120" s="1849"/>
      <c r="Q120" s="1849"/>
      <c r="R120" s="1849"/>
    </row>
    <row r="121" spans="2:19" ht="13">
      <c r="D121" s="1128"/>
    </row>
    <row r="122" spans="2:19" ht="13">
      <c r="D122" s="1128" t="s">
        <v>1629</v>
      </c>
      <c r="J122" s="1831"/>
      <c r="K122" s="1831"/>
      <c r="L122" s="1831"/>
      <c r="N122" s="1831"/>
      <c r="O122" s="1831"/>
      <c r="P122" s="1831"/>
      <c r="Q122" s="1831"/>
      <c r="R122" s="1831"/>
    </row>
    <row r="123" spans="2:19" ht="13">
      <c r="D123" s="1832" t="s">
        <v>1065</v>
      </c>
      <c r="E123" s="1833"/>
      <c r="F123" s="1833"/>
      <c r="G123" s="1833"/>
      <c r="H123" s="1834"/>
      <c r="I123" s="1132"/>
      <c r="J123" s="1835" t="s">
        <v>1630</v>
      </c>
      <c r="K123" s="1836"/>
      <c r="L123" s="1837"/>
      <c r="M123" s="1132"/>
      <c r="N123" s="1835" t="s">
        <v>1631</v>
      </c>
      <c r="O123" s="1836"/>
      <c r="P123" s="1836"/>
      <c r="Q123" s="1836"/>
      <c r="R123" s="1837"/>
      <c r="S123" s="1132"/>
    </row>
    <row r="124" spans="2:19" ht="13">
      <c r="D124" s="1133" t="s">
        <v>216</v>
      </c>
      <c r="E124" s="1133" t="s">
        <v>217</v>
      </c>
      <c r="F124" s="1133" t="s">
        <v>1565</v>
      </c>
      <c r="G124" s="1133" t="s">
        <v>1566</v>
      </c>
      <c r="H124" s="1133" t="s">
        <v>1567</v>
      </c>
      <c r="I124" s="1132"/>
      <c r="J124" s="1133" t="s">
        <v>1568</v>
      </c>
      <c r="K124" s="1133" t="s">
        <v>1569</v>
      </c>
      <c r="L124" s="1133" t="s">
        <v>1570</v>
      </c>
      <c r="M124" s="1132"/>
      <c r="N124" s="1133" t="s">
        <v>1571</v>
      </c>
      <c r="O124" s="1133" t="s">
        <v>1572</v>
      </c>
      <c r="P124" s="1133" t="s">
        <v>1573</v>
      </c>
      <c r="Q124" s="1133" t="s">
        <v>1574</v>
      </c>
      <c r="R124" s="1133" t="s">
        <v>1575</v>
      </c>
      <c r="S124" s="1132"/>
    </row>
    <row r="125" spans="2:19" ht="63" customHeight="1">
      <c r="B125" s="1134" t="s">
        <v>1576</v>
      </c>
      <c r="D125" s="1135" t="s">
        <v>211</v>
      </c>
      <c r="E125" s="1135" t="s">
        <v>1066</v>
      </c>
      <c r="F125" s="1135" t="s">
        <v>1160</v>
      </c>
      <c r="G125" s="1135" t="s">
        <v>1159</v>
      </c>
      <c r="H125" s="1135" t="s">
        <v>1577</v>
      </c>
      <c r="I125" s="1361"/>
      <c r="J125" s="1135" t="s">
        <v>1069</v>
      </c>
      <c r="K125" s="1135" t="s">
        <v>1578</v>
      </c>
      <c r="L125" s="1135" t="s">
        <v>1579</v>
      </c>
      <c r="M125" s="1361"/>
      <c r="N125" s="1135" t="s">
        <v>1158</v>
      </c>
      <c r="O125" s="1135" t="s">
        <v>1580</v>
      </c>
      <c r="P125" s="1135" t="s">
        <v>1581</v>
      </c>
      <c r="Q125" s="1135" t="s">
        <v>1582</v>
      </c>
      <c r="R125" s="1135" t="s">
        <v>1583</v>
      </c>
      <c r="S125" s="1361"/>
    </row>
    <row r="126" spans="2:19">
      <c r="E126" s="1361"/>
      <c r="F126" s="1361"/>
      <c r="G126" s="1361"/>
      <c r="H126" s="1361"/>
      <c r="I126" s="1361"/>
      <c r="J126" s="1361"/>
      <c r="K126" s="1361"/>
      <c r="L126" s="1361"/>
      <c r="M126" s="1361"/>
      <c r="N126" s="1361"/>
      <c r="O126" s="1361"/>
      <c r="P126" s="1361"/>
      <c r="Q126" s="1361"/>
      <c r="R126" s="1361"/>
      <c r="S126" s="1361"/>
    </row>
    <row r="127" spans="2:19">
      <c r="B127" s="1131">
        <f>B117+1</f>
        <v>74</v>
      </c>
      <c r="D127" s="945" t="s">
        <v>1632</v>
      </c>
      <c r="E127" s="1361"/>
      <c r="F127" s="1361"/>
      <c r="G127" s="1361"/>
      <c r="H127" s="1361"/>
      <c r="I127" s="1361"/>
      <c r="J127" s="1136" t="str">
        <f>$J$14</f>
        <v>12/31/2021 (Actual)</v>
      </c>
      <c r="K127" s="1361"/>
      <c r="L127" s="1136">
        <f>'1E - ADIT Amortization'!M372</f>
        <v>0</v>
      </c>
      <c r="M127" s="1361"/>
      <c r="N127" s="1136" t="str">
        <f>$N$14</f>
        <v>12/31/2021 (Actual)</v>
      </c>
      <c r="O127" s="1361"/>
      <c r="P127" s="1361"/>
      <c r="Q127" s="1361"/>
      <c r="R127" s="1136">
        <v>0</v>
      </c>
      <c r="S127" s="1361"/>
    </row>
    <row r="128" spans="2:19">
      <c r="E128" s="1361"/>
      <c r="F128" s="1361"/>
      <c r="G128" s="1361"/>
      <c r="H128" s="1361"/>
      <c r="I128" s="1361"/>
      <c r="J128" s="1361"/>
      <c r="K128" s="1361"/>
      <c r="L128" s="1361"/>
      <c r="M128" s="1361"/>
      <c r="N128" s="1361"/>
      <c r="O128" s="1361"/>
      <c r="P128" s="1361"/>
      <c r="Q128" s="1361"/>
      <c r="R128" s="1361"/>
      <c r="S128" s="1361"/>
    </row>
    <row r="129" spans="2:19">
      <c r="B129" s="1131">
        <f>B127+1</f>
        <v>75</v>
      </c>
      <c r="D129" s="1137" t="s">
        <v>634</v>
      </c>
      <c r="E129" s="1136">
        <v>31</v>
      </c>
      <c r="F129" s="1138">
        <v>0</v>
      </c>
      <c r="G129" s="1138">
        <v>214</v>
      </c>
      <c r="H129" s="1139">
        <f t="shared" ref="H129:H140" si="30">IF(F129=0,0.5,F129/G129)</f>
        <v>0.5</v>
      </c>
      <c r="I129" s="1140"/>
      <c r="J129" s="1136">
        <v>0</v>
      </c>
      <c r="K129" s="1141">
        <f t="shared" ref="K129:K136" si="31">+J129*H129</f>
        <v>0</v>
      </c>
      <c r="L129" s="1141">
        <f>+K129+L127</f>
        <v>0</v>
      </c>
      <c r="M129" s="1140"/>
      <c r="N129" s="1136">
        <v>0</v>
      </c>
      <c r="O129" s="1141">
        <f>IF($D$237="True-Up Adjustment",N129-J129,0)</f>
        <v>0</v>
      </c>
      <c r="P129" s="1141">
        <f>IF($D$237="True-Up Adjustment",IF(AND(J129&gt;=0,N129&gt;=0),IF(O129&gt;=0,K129+O129,N129/J129*K129),IF(AND(J129&lt;0,N129&lt;0),IF(O129&lt;0,K129+O129,N129/J129*K129),0)),0)</f>
        <v>0</v>
      </c>
      <c r="Q129" s="1141">
        <f t="shared" ref="Q129:Q140" si="32">IF(AND(J129&gt;=0,N129&lt;0),N129,IF(AND(J129&lt;0,N129&gt;=0),N129,0))</f>
        <v>0</v>
      </c>
      <c r="R129" s="1141">
        <f>+Q129+R127</f>
        <v>0</v>
      </c>
      <c r="S129" s="1140"/>
    </row>
    <row r="130" spans="2:19">
      <c r="B130" s="1131">
        <f t="shared" ref="B130:B141" si="33">+B129+1</f>
        <v>76</v>
      </c>
      <c r="D130" s="1137" t="s">
        <v>635</v>
      </c>
      <c r="E130" s="1136">
        <v>28</v>
      </c>
      <c r="F130" s="1138">
        <v>0</v>
      </c>
      <c r="G130" s="1138">
        <f t="shared" ref="G130:G140" si="34">G129</f>
        <v>214</v>
      </c>
      <c r="H130" s="1139">
        <f t="shared" si="30"/>
        <v>0.5</v>
      </c>
      <c r="I130" s="1140"/>
      <c r="J130" s="1136">
        <v>0</v>
      </c>
      <c r="K130" s="1141">
        <f t="shared" si="31"/>
        <v>0</v>
      </c>
      <c r="L130" s="1141">
        <f t="shared" ref="L130:L140" si="35">+K130+L129</f>
        <v>0</v>
      </c>
      <c r="M130" s="1140"/>
      <c r="N130" s="1136">
        <v>0</v>
      </c>
      <c r="O130" s="1141">
        <f t="shared" ref="O130:O140" si="36">IF($D$237="True-Up Adjustment",N130-J130,0)</f>
        <v>0</v>
      </c>
      <c r="P130" s="1141">
        <f t="shared" ref="P130:P140" si="37">IF($D$237="True-Up Adjustment",IF(AND(J130&gt;=0,N130&gt;=0),IF(O130&gt;=0,K130+O130,N130/J130*K130),IF(AND(J130&lt;0,N130&lt;0),IF(O130&lt;0,K130+O130,N130/J130*K130),0)),0)</f>
        <v>0</v>
      </c>
      <c r="Q130" s="1141">
        <f t="shared" si="32"/>
        <v>0</v>
      </c>
      <c r="R130" s="1141">
        <f t="shared" ref="R130:R140" si="38">R129+P130+Q130</f>
        <v>0</v>
      </c>
      <c r="S130" s="1140"/>
    </row>
    <row r="131" spans="2:19">
      <c r="B131" s="1131">
        <f t="shared" si="33"/>
        <v>77</v>
      </c>
      <c r="D131" s="1137" t="s">
        <v>662</v>
      </c>
      <c r="E131" s="1136">
        <v>31</v>
      </c>
      <c r="F131" s="1138">
        <v>0</v>
      </c>
      <c r="G131" s="1138">
        <f t="shared" si="34"/>
        <v>214</v>
      </c>
      <c r="H131" s="1139">
        <f t="shared" si="30"/>
        <v>0.5</v>
      </c>
      <c r="I131" s="1140"/>
      <c r="J131" s="1136">
        <v>0</v>
      </c>
      <c r="K131" s="1141">
        <f t="shared" si="31"/>
        <v>0</v>
      </c>
      <c r="L131" s="1141">
        <f t="shared" si="35"/>
        <v>0</v>
      </c>
      <c r="M131" s="1140"/>
      <c r="N131" s="1136">
        <v>0</v>
      </c>
      <c r="O131" s="1141">
        <f t="shared" si="36"/>
        <v>0</v>
      </c>
      <c r="P131" s="1141">
        <f t="shared" si="37"/>
        <v>0</v>
      </c>
      <c r="Q131" s="1141">
        <f t="shared" si="32"/>
        <v>0</v>
      </c>
      <c r="R131" s="1141">
        <f t="shared" si="38"/>
        <v>0</v>
      </c>
      <c r="S131" s="1140"/>
    </row>
    <row r="132" spans="2:19">
      <c r="B132" s="1131">
        <f t="shared" si="33"/>
        <v>78</v>
      </c>
      <c r="D132" s="1137" t="s">
        <v>213</v>
      </c>
      <c r="E132" s="1136">
        <v>30</v>
      </c>
      <c r="F132" s="1138">
        <v>0</v>
      </c>
      <c r="G132" s="1138">
        <f t="shared" si="34"/>
        <v>214</v>
      </c>
      <c r="H132" s="1139">
        <f t="shared" si="30"/>
        <v>0.5</v>
      </c>
      <c r="I132" s="1140"/>
      <c r="J132" s="1136">
        <v>0</v>
      </c>
      <c r="K132" s="1141">
        <f t="shared" si="31"/>
        <v>0</v>
      </c>
      <c r="L132" s="1141">
        <f t="shared" si="35"/>
        <v>0</v>
      </c>
      <c r="M132" s="1140"/>
      <c r="N132" s="1136">
        <v>0</v>
      </c>
      <c r="O132" s="1141">
        <f t="shared" si="36"/>
        <v>0</v>
      </c>
      <c r="P132" s="1141">
        <f t="shared" si="37"/>
        <v>0</v>
      </c>
      <c r="Q132" s="1141">
        <f t="shared" si="32"/>
        <v>0</v>
      </c>
      <c r="R132" s="1141">
        <f t="shared" si="38"/>
        <v>0</v>
      </c>
      <c r="S132" s="1140"/>
    </row>
    <row r="133" spans="2:19">
      <c r="B133" s="1131">
        <f t="shared" si="33"/>
        <v>79</v>
      </c>
      <c r="D133" s="1137" t="s">
        <v>214</v>
      </c>
      <c r="E133" s="1136">
        <v>31</v>
      </c>
      <c r="F133" s="1138">
        <v>0</v>
      </c>
      <c r="G133" s="1138">
        <f t="shared" si="34"/>
        <v>214</v>
      </c>
      <c r="H133" s="1139">
        <f t="shared" si="30"/>
        <v>0.5</v>
      </c>
      <c r="I133" s="1140"/>
      <c r="J133" s="1136">
        <v>0</v>
      </c>
      <c r="K133" s="1141">
        <f t="shared" si="31"/>
        <v>0</v>
      </c>
      <c r="L133" s="1141">
        <f t="shared" si="35"/>
        <v>0</v>
      </c>
      <c r="M133" s="1140"/>
      <c r="N133" s="1136">
        <v>0</v>
      </c>
      <c r="O133" s="1141">
        <f t="shared" si="36"/>
        <v>0</v>
      </c>
      <c r="P133" s="1141">
        <f t="shared" si="37"/>
        <v>0</v>
      </c>
      <c r="Q133" s="1141">
        <f t="shared" si="32"/>
        <v>0</v>
      </c>
      <c r="R133" s="1141">
        <f t="shared" si="38"/>
        <v>0</v>
      </c>
      <c r="S133" s="1140"/>
    </row>
    <row r="134" spans="2:19">
      <c r="B134" s="1131">
        <f t="shared" si="33"/>
        <v>80</v>
      </c>
      <c r="D134" s="1137" t="s">
        <v>215</v>
      </c>
      <c r="E134" s="1136">
        <v>30</v>
      </c>
      <c r="F134" s="1138">
        <f t="shared" ref="F134:F139" si="39">E135+F135</f>
        <v>185</v>
      </c>
      <c r="G134" s="1138">
        <f t="shared" si="34"/>
        <v>214</v>
      </c>
      <c r="H134" s="1139">
        <f t="shared" si="30"/>
        <v>0.86448598130841126</v>
      </c>
      <c r="I134" s="1140"/>
      <c r="J134" s="1136">
        <v>0</v>
      </c>
      <c r="K134" s="1141">
        <f t="shared" si="31"/>
        <v>0</v>
      </c>
      <c r="L134" s="1141">
        <f t="shared" si="35"/>
        <v>0</v>
      </c>
      <c r="M134" s="1140"/>
      <c r="N134" s="1136">
        <v>0</v>
      </c>
      <c r="O134" s="1141">
        <f t="shared" si="36"/>
        <v>0</v>
      </c>
      <c r="P134" s="1141">
        <f t="shared" si="37"/>
        <v>0</v>
      </c>
      <c r="Q134" s="1141">
        <f t="shared" si="32"/>
        <v>0</v>
      </c>
      <c r="R134" s="1141">
        <f t="shared" si="38"/>
        <v>0</v>
      </c>
      <c r="S134" s="1140"/>
    </row>
    <row r="135" spans="2:19">
      <c r="B135" s="1131">
        <f t="shared" si="33"/>
        <v>81</v>
      </c>
      <c r="D135" s="1137" t="s">
        <v>637</v>
      </c>
      <c r="E135" s="1136">
        <v>31</v>
      </c>
      <c r="F135" s="1138">
        <f t="shared" si="39"/>
        <v>154</v>
      </c>
      <c r="G135" s="1138">
        <f t="shared" si="34"/>
        <v>214</v>
      </c>
      <c r="H135" s="1139">
        <f t="shared" si="30"/>
        <v>0.71962616822429903</v>
      </c>
      <c r="I135" s="1140"/>
      <c r="J135" s="1136">
        <v>0</v>
      </c>
      <c r="K135" s="1141">
        <f t="shared" si="31"/>
        <v>0</v>
      </c>
      <c r="L135" s="1141">
        <f t="shared" si="35"/>
        <v>0</v>
      </c>
      <c r="M135" s="1140"/>
      <c r="N135" s="1136">
        <v>0</v>
      </c>
      <c r="O135" s="1141">
        <f t="shared" si="36"/>
        <v>0</v>
      </c>
      <c r="P135" s="1141">
        <f t="shared" si="37"/>
        <v>0</v>
      </c>
      <c r="Q135" s="1141">
        <f t="shared" si="32"/>
        <v>0</v>
      </c>
      <c r="R135" s="1141">
        <f t="shared" si="38"/>
        <v>0</v>
      </c>
      <c r="S135" s="1140"/>
    </row>
    <row r="136" spans="2:19">
      <c r="B136" s="1131">
        <f t="shared" si="33"/>
        <v>82</v>
      </c>
      <c r="D136" s="1137" t="s">
        <v>663</v>
      </c>
      <c r="E136" s="1136">
        <v>31</v>
      </c>
      <c r="F136" s="1138">
        <f t="shared" si="39"/>
        <v>123</v>
      </c>
      <c r="G136" s="1138">
        <f t="shared" si="34"/>
        <v>214</v>
      </c>
      <c r="H136" s="1139">
        <f t="shared" si="30"/>
        <v>0.57476635514018692</v>
      </c>
      <c r="I136" s="1140"/>
      <c r="J136" s="1136">
        <v>0</v>
      </c>
      <c r="K136" s="1141">
        <f t="shared" si="31"/>
        <v>0</v>
      </c>
      <c r="L136" s="1141">
        <f t="shared" si="35"/>
        <v>0</v>
      </c>
      <c r="M136" s="1140"/>
      <c r="N136" s="1136">
        <v>0</v>
      </c>
      <c r="O136" s="1141">
        <f t="shared" si="36"/>
        <v>0</v>
      </c>
      <c r="P136" s="1141">
        <f t="shared" si="37"/>
        <v>0</v>
      </c>
      <c r="Q136" s="1141">
        <f t="shared" si="32"/>
        <v>0</v>
      </c>
      <c r="R136" s="1141">
        <f t="shared" si="38"/>
        <v>0</v>
      </c>
      <c r="S136" s="1140"/>
    </row>
    <row r="137" spans="2:19">
      <c r="B137" s="1131">
        <f t="shared" si="33"/>
        <v>83</v>
      </c>
      <c r="D137" s="1137" t="s">
        <v>639</v>
      </c>
      <c r="E137" s="1136">
        <v>30</v>
      </c>
      <c r="F137" s="1138">
        <f t="shared" si="39"/>
        <v>93</v>
      </c>
      <c r="G137" s="1138">
        <f t="shared" si="34"/>
        <v>214</v>
      </c>
      <c r="H137" s="1139">
        <f t="shared" si="30"/>
        <v>0.43457943925233644</v>
      </c>
      <c r="I137" s="1140"/>
      <c r="J137" s="1136">
        <v>0</v>
      </c>
      <c r="K137" s="1141">
        <f>+J137*H137</f>
        <v>0</v>
      </c>
      <c r="L137" s="1141">
        <f t="shared" si="35"/>
        <v>0</v>
      </c>
      <c r="M137" s="1140"/>
      <c r="N137" s="1136">
        <v>0</v>
      </c>
      <c r="O137" s="1141">
        <f t="shared" si="36"/>
        <v>0</v>
      </c>
      <c r="P137" s="1141">
        <f t="shared" si="37"/>
        <v>0</v>
      </c>
      <c r="Q137" s="1141">
        <f t="shared" si="32"/>
        <v>0</v>
      </c>
      <c r="R137" s="1141">
        <f t="shared" si="38"/>
        <v>0</v>
      </c>
      <c r="S137" s="1140"/>
    </row>
    <row r="138" spans="2:19">
      <c r="B138" s="1131">
        <f t="shared" si="33"/>
        <v>84</v>
      </c>
      <c r="D138" s="1137" t="s">
        <v>640</v>
      </c>
      <c r="E138" s="1136">
        <v>31</v>
      </c>
      <c r="F138" s="1138">
        <f t="shared" si="39"/>
        <v>62</v>
      </c>
      <c r="G138" s="1138">
        <f t="shared" si="34"/>
        <v>214</v>
      </c>
      <c r="H138" s="1139">
        <f t="shared" si="30"/>
        <v>0.28971962616822428</v>
      </c>
      <c r="I138" s="1140"/>
      <c r="J138" s="1136">
        <v>0</v>
      </c>
      <c r="K138" s="1141">
        <f t="shared" ref="K138:K140" si="40">+J138*H138</f>
        <v>0</v>
      </c>
      <c r="L138" s="1141">
        <f t="shared" si="35"/>
        <v>0</v>
      </c>
      <c r="M138" s="1140"/>
      <c r="N138" s="1136">
        <v>0</v>
      </c>
      <c r="O138" s="1141">
        <f t="shared" si="36"/>
        <v>0</v>
      </c>
      <c r="P138" s="1141">
        <f t="shared" si="37"/>
        <v>0</v>
      </c>
      <c r="Q138" s="1141">
        <f t="shared" si="32"/>
        <v>0</v>
      </c>
      <c r="R138" s="1141">
        <f t="shared" si="38"/>
        <v>0</v>
      </c>
      <c r="S138" s="1140"/>
    </row>
    <row r="139" spans="2:19">
      <c r="B139" s="1131">
        <f t="shared" si="33"/>
        <v>85</v>
      </c>
      <c r="D139" s="1137" t="s">
        <v>641</v>
      </c>
      <c r="E139" s="1136">
        <v>30</v>
      </c>
      <c r="F139" s="1138">
        <f t="shared" si="39"/>
        <v>32</v>
      </c>
      <c r="G139" s="1138">
        <f t="shared" si="34"/>
        <v>214</v>
      </c>
      <c r="H139" s="1139">
        <f t="shared" si="30"/>
        <v>0.14953271028037382</v>
      </c>
      <c r="I139" s="1140"/>
      <c r="J139" s="1136">
        <v>0</v>
      </c>
      <c r="K139" s="1141">
        <f t="shared" si="40"/>
        <v>0</v>
      </c>
      <c r="L139" s="1141">
        <f t="shared" si="35"/>
        <v>0</v>
      </c>
      <c r="M139" s="1140"/>
      <c r="N139" s="1136">
        <v>0</v>
      </c>
      <c r="O139" s="1141">
        <f t="shared" si="36"/>
        <v>0</v>
      </c>
      <c r="P139" s="1141">
        <f t="shared" si="37"/>
        <v>0</v>
      </c>
      <c r="Q139" s="1141">
        <f t="shared" si="32"/>
        <v>0</v>
      </c>
      <c r="R139" s="1141">
        <f t="shared" si="38"/>
        <v>0</v>
      </c>
      <c r="S139" s="1140"/>
    </row>
    <row r="140" spans="2:19">
      <c r="B140" s="1131">
        <f t="shared" si="33"/>
        <v>86</v>
      </c>
      <c r="D140" s="1142" t="s">
        <v>895</v>
      </c>
      <c r="E140" s="1136">
        <v>31</v>
      </c>
      <c r="F140" s="1143">
        <v>1</v>
      </c>
      <c r="G140" s="1138">
        <f t="shared" si="34"/>
        <v>214</v>
      </c>
      <c r="H140" s="1139">
        <f t="shared" si="30"/>
        <v>4.6728971962616819E-3</v>
      </c>
      <c r="I140" s="1140"/>
      <c r="J140" s="1136">
        <v>0</v>
      </c>
      <c r="K140" s="1141">
        <f t="shared" si="40"/>
        <v>0</v>
      </c>
      <c r="L140" s="1141">
        <f t="shared" si="35"/>
        <v>0</v>
      </c>
      <c r="M140" s="1140"/>
      <c r="N140" s="1136">
        <v>0</v>
      </c>
      <c r="O140" s="1141">
        <f t="shared" si="36"/>
        <v>0</v>
      </c>
      <c r="P140" s="1141">
        <f t="shared" si="37"/>
        <v>0</v>
      </c>
      <c r="Q140" s="1141">
        <f t="shared" si="32"/>
        <v>0</v>
      </c>
      <c r="R140" s="1141">
        <f t="shared" si="38"/>
        <v>0</v>
      </c>
      <c r="S140" s="1140"/>
    </row>
    <row r="141" spans="2:19">
      <c r="B141" s="1131">
        <f t="shared" si="33"/>
        <v>87</v>
      </c>
      <c r="D141" s="1144" t="str">
        <f>"Total (Sum of Lines "&amp;B129&amp;" - "&amp;B140&amp;")"</f>
        <v>Total (Sum of Lines 75 - 86)</v>
      </c>
      <c r="E141" s="1145">
        <f>SUM(E129:E140)</f>
        <v>365</v>
      </c>
      <c r="F141" s="1146"/>
      <c r="G141" s="1146"/>
      <c r="H141" s="1147"/>
      <c r="I141" s="1148"/>
      <c r="J141" s="1145">
        <f>SUM(J129:J140)</f>
        <v>0</v>
      </c>
      <c r="K141" s="1145">
        <f>SUM(K129:K140)</f>
        <v>0</v>
      </c>
      <c r="L141" s="1149"/>
      <c r="M141" s="1148"/>
      <c r="N141" s="1145">
        <f>SUM(N129:N140)</f>
        <v>0</v>
      </c>
      <c r="O141" s="1145">
        <f>SUM(O129:O140)</f>
        <v>0</v>
      </c>
      <c r="P141" s="1145">
        <f>SUM(P129:P140)</f>
        <v>0</v>
      </c>
      <c r="Q141" s="1145">
        <f>SUM(Q129:Q140)</f>
        <v>0</v>
      </c>
      <c r="R141" s="1149"/>
      <c r="S141" s="1148"/>
    </row>
    <row r="142" spans="2:19">
      <c r="D142" s="1150"/>
      <c r="E142" s="1150"/>
      <c r="F142" s="1150"/>
      <c r="G142" s="1150"/>
      <c r="H142" s="1151"/>
      <c r="I142" s="1151"/>
      <c r="K142" s="1152"/>
      <c r="L142" s="1151"/>
      <c r="M142" s="1151"/>
      <c r="O142" s="1152"/>
      <c r="P142" s="1152"/>
      <c r="Q142" s="1152"/>
      <c r="R142" s="1151"/>
      <c r="S142" s="1151"/>
    </row>
    <row r="143" spans="2:19">
      <c r="B143" s="1131">
        <f>B141+1</f>
        <v>88</v>
      </c>
      <c r="D143" s="945" t="s">
        <v>1633</v>
      </c>
      <c r="I143" s="1151"/>
      <c r="J143" s="1136" t="str">
        <f>$J$30</f>
        <v>12/31/2021 (Actual)</v>
      </c>
      <c r="L143" s="1136">
        <f>'1E - ADIT Amortization'!M354+'1E - ADIT Amortization'!M363</f>
        <v>-88869.375</v>
      </c>
      <c r="M143" s="1153"/>
      <c r="N143" s="1136" t="str">
        <f>$N$14</f>
        <v>12/31/2021 (Actual)</v>
      </c>
      <c r="R143" s="1136">
        <f>'1E - ADIT Amortization'!$M$354+'1E - ADIT Amortization'!$M$363</f>
        <v>-88869.375</v>
      </c>
    </row>
    <row r="144" spans="2:19">
      <c r="B144" s="1131">
        <f>B143+1</f>
        <v>89</v>
      </c>
      <c r="D144" s="945" t="s">
        <v>1634</v>
      </c>
      <c r="I144" s="1151"/>
      <c r="J144" s="1154" t="s">
        <v>757</v>
      </c>
      <c r="L144" s="1155">
        <v>0</v>
      </c>
      <c r="M144" s="1156"/>
      <c r="N144" s="1154"/>
      <c r="R144" s="1155">
        <v>0</v>
      </c>
    </row>
    <row r="145" spans="2:19">
      <c r="B145" s="1131">
        <f>B144+1</f>
        <v>90</v>
      </c>
      <c r="D145" s="945" t="s">
        <v>1635</v>
      </c>
      <c r="I145" s="1151"/>
      <c r="J145" s="1144" t="str">
        <f>"(Col. "&amp;L124&amp;", Line "&amp;B143&amp;" + Line "&amp;B144&amp;")"</f>
        <v>(Col. (H), Line 88 + Line 89)</v>
      </c>
      <c r="L145" s="1157">
        <f>L143+L144</f>
        <v>-88869.375</v>
      </c>
      <c r="M145" s="1151"/>
      <c r="N145" s="1144" t="str">
        <f>"(Col. "&amp;R124&amp;", Line "&amp;B143&amp;" + Line "&amp;B144&amp;")"</f>
        <v>(Col. (M), Line 88 + Line 89)</v>
      </c>
      <c r="R145" s="1157">
        <f>R143+R144</f>
        <v>-88869.375</v>
      </c>
    </row>
    <row r="146" spans="2:19">
      <c r="I146" s="1151"/>
      <c r="L146" s="1157"/>
      <c r="M146" s="1151"/>
      <c r="R146" s="1157"/>
    </row>
    <row r="147" spans="2:19">
      <c r="B147" s="1131">
        <f>B145+1</f>
        <v>91</v>
      </c>
      <c r="D147" s="945" t="s">
        <v>1636</v>
      </c>
      <c r="I147" s="1151"/>
      <c r="J147" s="1136" t="str">
        <f>$J$34</f>
        <v>2022 Projected</v>
      </c>
      <c r="L147" s="1136">
        <f>'1E - ADIT Amortization'!Q354+'1E - ADIT Amortization'!Q363</f>
        <v>0</v>
      </c>
      <c r="M147" s="1153"/>
      <c r="N147" s="1136" t="str">
        <f>$N$34</f>
        <v>12/31/2022 (Actual)</v>
      </c>
      <c r="R147" s="1136">
        <f>'1E - ADIT Amortization'!Q354+'1E - ADIT Amortization'!Q363</f>
        <v>0</v>
      </c>
    </row>
    <row r="148" spans="2:19">
      <c r="B148" s="1131">
        <f>B147+1</f>
        <v>92</v>
      </c>
      <c r="D148" s="945" t="s">
        <v>1637</v>
      </c>
      <c r="I148" s="1151"/>
      <c r="J148" s="1154" t="s">
        <v>757</v>
      </c>
      <c r="L148" s="1155">
        <v>0</v>
      </c>
      <c r="M148" s="1151"/>
      <c r="N148" s="1154"/>
      <c r="R148" s="1155">
        <v>0</v>
      </c>
    </row>
    <row r="149" spans="2:19">
      <c r="B149" s="1131">
        <f>B148+1</f>
        <v>93</v>
      </c>
      <c r="D149" s="945" t="s">
        <v>1638</v>
      </c>
      <c r="G149" s="1144"/>
      <c r="I149" s="1151"/>
      <c r="J149" s="1144" t="str">
        <f>"(Col. "&amp;L124&amp;", Line "&amp;B147&amp;" + Line "&amp;B148&amp;")"</f>
        <v>(Col. (H), Line 91 + Line 92)</v>
      </c>
      <c r="L149" s="1157">
        <f>L147+L148</f>
        <v>0</v>
      </c>
      <c r="M149" s="1151"/>
      <c r="N149" s="1144" t="str">
        <f>"(Col. "&amp;R124&amp;", Line "&amp;B147&amp;" + Line "&amp;B148&amp;")"</f>
        <v>(Col. (M), Line 91 + Line 92)</v>
      </c>
      <c r="R149" s="1157">
        <f>R147+R148</f>
        <v>0</v>
      </c>
    </row>
    <row r="150" spans="2:19">
      <c r="I150" s="1151"/>
      <c r="L150" s="1157"/>
      <c r="M150" s="1151"/>
      <c r="R150" s="1157"/>
    </row>
    <row r="151" spans="2:19">
      <c r="B151" s="1131">
        <f>B149+1</f>
        <v>94</v>
      </c>
      <c r="D151" s="945" t="s">
        <v>1155</v>
      </c>
      <c r="I151" s="1151"/>
      <c r="J151" s="1144" t="str">
        <f>"([Col. "&amp;L124&amp;", Line "&amp;B145&amp;" + Line "&amp;B149&amp;"] /2)"</f>
        <v>([Col. (H), Line 90 + Line 93] /2)</v>
      </c>
      <c r="L151" s="1141">
        <f>(L145+L149)/2</f>
        <v>-44434.6875</v>
      </c>
      <c r="M151" s="1151"/>
      <c r="N151" s="1144" t="str">
        <f>"([Col. "&amp;R124&amp;", Line "&amp;B145&amp;" + Line "&amp;B149&amp;"] /2)"</f>
        <v>([Col. (M), Line 90 + Line 93] /2)</v>
      </c>
      <c r="R151" s="1141">
        <f>(R145+R149)/2</f>
        <v>-44434.6875</v>
      </c>
    </row>
    <row r="152" spans="2:19">
      <c r="B152" s="1131">
        <f>B151+1</f>
        <v>95</v>
      </c>
      <c r="D152" s="1250" t="s">
        <v>1639</v>
      </c>
      <c r="E152" s="1150"/>
      <c r="F152" s="1150"/>
      <c r="G152" s="1150"/>
      <c r="H152" s="1151"/>
      <c r="I152" s="1151"/>
      <c r="J152" s="1144" t="str">
        <f>"(Col. "&amp;L124&amp;", Line "&amp;B140&amp;" )"</f>
        <v>(Col. (H), Line 86 )</v>
      </c>
      <c r="K152" s="1152"/>
      <c r="L152" s="1141">
        <f>L140</f>
        <v>0</v>
      </c>
      <c r="M152" s="1151"/>
      <c r="N152" s="1144" t="str">
        <f>"(Col. "&amp;R124&amp;", Line "&amp;B140&amp;" )"</f>
        <v>(Col. (M), Line 86 )</v>
      </c>
      <c r="R152" s="1141">
        <f>R140</f>
        <v>0</v>
      </c>
    </row>
    <row r="153" spans="2:19" ht="13.5" thickBot="1">
      <c r="B153" s="1131">
        <f>B152+1</f>
        <v>96</v>
      </c>
      <c r="D153" s="1158" t="s">
        <v>1640</v>
      </c>
      <c r="E153" s="1150"/>
      <c r="F153" s="1150"/>
      <c r="G153" s="1150"/>
      <c r="H153" s="1151"/>
      <c r="I153" s="1151"/>
      <c r="J153" s="1144" t="str">
        <f>"(Col. "&amp;L124&amp;", Line "&amp;B151&amp;" + Line "&amp;B152&amp;")"</f>
        <v>(Col. (H), Line 94 + Line 95)</v>
      </c>
      <c r="K153" s="1152"/>
      <c r="L153" s="1159">
        <f>L151+L152</f>
        <v>-44434.6875</v>
      </c>
      <c r="M153" s="1151"/>
      <c r="N153" s="1144" t="str">
        <f>"(Col. "&amp;R124&amp;", Line "&amp;B151&amp;" + Line "&amp;B152&amp;")"</f>
        <v>(Col. (M), Line 94 + Line 95)</v>
      </c>
      <c r="R153" s="1159">
        <f>R151+R152</f>
        <v>-44434.6875</v>
      </c>
    </row>
    <row r="154" spans="2:19">
      <c r="I154" s="1151"/>
      <c r="L154" s="1141"/>
      <c r="M154" s="1151"/>
      <c r="R154" s="1141"/>
      <c r="S154" s="1151"/>
    </row>
    <row r="155" spans="2:19" ht="13">
      <c r="D155" s="1128" t="s">
        <v>1641</v>
      </c>
      <c r="J155" s="1160"/>
      <c r="K155" s="1161"/>
      <c r="L155" s="1161"/>
      <c r="N155" s="1161"/>
      <c r="O155" s="1161"/>
      <c r="P155" s="1161"/>
      <c r="Q155" s="1161"/>
      <c r="R155" s="1161"/>
    </row>
    <row r="156" spans="2:19" ht="13">
      <c r="D156" s="1832" t="s">
        <v>1065</v>
      </c>
      <c r="E156" s="1833"/>
      <c r="F156" s="1833"/>
      <c r="G156" s="1833"/>
      <c r="H156" s="1834"/>
      <c r="I156" s="1132"/>
      <c r="J156" s="1835" t="s">
        <v>1630</v>
      </c>
      <c r="K156" s="1836"/>
      <c r="L156" s="1837"/>
      <c r="M156" s="1132"/>
      <c r="N156" s="1835" t="s">
        <v>1631</v>
      </c>
      <c r="O156" s="1836"/>
      <c r="P156" s="1836"/>
      <c r="Q156" s="1836"/>
      <c r="R156" s="1837"/>
      <c r="S156" s="1132"/>
    </row>
    <row r="157" spans="2:19" ht="13">
      <c r="D157" s="1133" t="s">
        <v>216</v>
      </c>
      <c r="E157" s="1133" t="s">
        <v>217</v>
      </c>
      <c r="F157" s="1133" t="s">
        <v>1565</v>
      </c>
      <c r="G157" s="1133" t="s">
        <v>1566</v>
      </c>
      <c r="H157" s="1133" t="s">
        <v>1567</v>
      </c>
      <c r="I157" s="1132"/>
      <c r="J157" s="1133" t="s">
        <v>1568</v>
      </c>
      <c r="K157" s="1133" t="s">
        <v>1569</v>
      </c>
      <c r="L157" s="1133" t="s">
        <v>1570</v>
      </c>
      <c r="M157" s="1132"/>
      <c r="N157" s="1133" t="s">
        <v>1571</v>
      </c>
      <c r="O157" s="1133" t="s">
        <v>1572</v>
      </c>
      <c r="P157" s="1133" t="s">
        <v>1573</v>
      </c>
      <c r="Q157" s="1133" t="s">
        <v>1574</v>
      </c>
      <c r="R157" s="1133" t="s">
        <v>1575</v>
      </c>
      <c r="S157" s="1132"/>
    </row>
    <row r="158" spans="2:19" ht="50">
      <c r="B158" s="1134" t="s">
        <v>1576</v>
      </c>
      <c r="D158" s="1135" t="s">
        <v>211</v>
      </c>
      <c r="E158" s="1135" t="s">
        <v>1066</v>
      </c>
      <c r="F158" s="1135" t="s">
        <v>1067</v>
      </c>
      <c r="G158" s="1135" t="s">
        <v>1068</v>
      </c>
      <c r="H158" s="1135" t="s">
        <v>1577</v>
      </c>
      <c r="I158" s="1361"/>
      <c r="J158" s="1135" t="s">
        <v>1069</v>
      </c>
      <c r="K158" s="1135" t="s">
        <v>1578</v>
      </c>
      <c r="L158" s="1135" t="s">
        <v>1579</v>
      </c>
      <c r="M158" s="1361"/>
      <c r="N158" s="1135" t="s">
        <v>1158</v>
      </c>
      <c r="O158" s="1135" t="s">
        <v>1580</v>
      </c>
      <c r="P158" s="1135" t="s">
        <v>1581</v>
      </c>
      <c r="Q158" s="1135" t="s">
        <v>1582</v>
      </c>
      <c r="R158" s="1135" t="s">
        <v>1583</v>
      </c>
      <c r="S158" s="1361"/>
    </row>
    <row r="159" spans="2:19">
      <c r="E159" s="1361"/>
      <c r="F159" s="1361"/>
      <c r="G159" s="1361"/>
      <c r="H159" s="1361"/>
      <c r="I159" s="1361"/>
      <c r="J159" s="1361"/>
      <c r="K159" s="1361"/>
      <c r="L159" s="1361"/>
      <c r="M159" s="1361"/>
      <c r="N159" s="1361"/>
      <c r="O159" s="1361"/>
      <c r="P159" s="1361"/>
      <c r="Q159" s="1361"/>
      <c r="R159" s="1361"/>
      <c r="S159" s="1361"/>
    </row>
    <row r="160" spans="2:19">
      <c r="B160" s="1131">
        <f>B153+1</f>
        <v>97</v>
      </c>
      <c r="D160" s="945" t="s">
        <v>1632</v>
      </c>
      <c r="E160" s="1361"/>
      <c r="F160" s="1361"/>
      <c r="G160" s="1361"/>
      <c r="H160" s="1361"/>
      <c r="I160" s="1361"/>
      <c r="J160" s="1136" t="str">
        <f>$J$14</f>
        <v>12/31/2021 (Actual)</v>
      </c>
      <c r="K160" s="1361"/>
      <c r="L160" s="1136">
        <f>'1E - ADIT Amortization'!$M$374</f>
        <v>0</v>
      </c>
      <c r="M160" s="1361"/>
      <c r="N160" s="1136" t="str">
        <f>$N$14</f>
        <v>12/31/2021 (Actual)</v>
      </c>
      <c r="O160" s="1361"/>
      <c r="P160" s="1361"/>
      <c r="Q160" s="1361"/>
      <c r="R160" s="1136">
        <f>'1E - ADIT Amortization'!$M$374</f>
        <v>0</v>
      </c>
      <c r="S160" s="1361"/>
    </row>
    <row r="161" spans="2:19">
      <c r="E161" s="1361"/>
      <c r="F161" s="1361"/>
      <c r="G161" s="1361"/>
      <c r="H161" s="1361"/>
      <c r="I161" s="1361"/>
      <c r="J161" s="1361"/>
      <c r="K161" s="1361"/>
      <c r="L161" s="1361"/>
      <c r="M161" s="1361"/>
      <c r="N161" s="1361"/>
      <c r="O161" s="1361"/>
      <c r="P161" s="1361"/>
      <c r="Q161" s="1361"/>
      <c r="R161" s="1361"/>
      <c r="S161" s="1361"/>
    </row>
    <row r="162" spans="2:19">
      <c r="B162" s="1131">
        <f>B160+1</f>
        <v>98</v>
      </c>
      <c r="D162" s="1137" t="s">
        <v>634</v>
      </c>
      <c r="E162" s="1136">
        <v>31</v>
      </c>
      <c r="F162" s="1138">
        <v>0</v>
      </c>
      <c r="G162" s="1138">
        <v>214</v>
      </c>
      <c r="H162" s="1139">
        <f t="shared" ref="H162:H173" si="41">IF(F162=0,0.5,F162/G162)</f>
        <v>0.5</v>
      </c>
      <c r="I162" s="1140"/>
      <c r="J162" s="1136">
        <v>0</v>
      </c>
      <c r="K162" s="1141">
        <f t="shared" ref="K162:K173" si="42">+J162*H162</f>
        <v>0</v>
      </c>
      <c r="L162" s="1141">
        <f>+K162+L160</f>
        <v>0</v>
      </c>
      <c r="M162" s="1140"/>
      <c r="N162" s="1136">
        <v>0</v>
      </c>
      <c r="O162" s="1141">
        <f>IF($D$237="True-Up Adjustment",N162-J162,0)</f>
        <v>0</v>
      </c>
      <c r="P162" s="1141">
        <f>IF($D$237="True-Up Adjustment",IF(AND(J162&gt;=0,N162&gt;=0),IF(O162&gt;=0,K162+O162,N162/J162*K162),IF(AND(J162&lt;0,N162&lt;0),IF(O162&lt;0,K162+O162,N162/J162*K162),0)),0)</f>
        <v>0</v>
      </c>
      <c r="Q162" s="1141">
        <f t="shared" ref="Q162:Q173" si="43">IF(AND(J162&gt;=0,N162&lt;0),N162,IF(AND(J162&lt;0,N162&gt;=0),N162,0))</f>
        <v>0</v>
      </c>
      <c r="R162" s="1141">
        <f>R160+P162+Q162</f>
        <v>0</v>
      </c>
      <c r="S162" s="1140"/>
    </row>
    <row r="163" spans="2:19">
      <c r="B163" s="1131">
        <f t="shared" ref="B163:B174" si="44">+B162+1</f>
        <v>99</v>
      </c>
      <c r="D163" s="1137" t="s">
        <v>635</v>
      </c>
      <c r="E163" s="1136">
        <v>28</v>
      </c>
      <c r="F163" s="1138">
        <v>0</v>
      </c>
      <c r="G163" s="1138">
        <f t="shared" ref="G163:G173" si="45">G162</f>
        <v>214</v>
      </c>
      <c r="H163" s="1139">
        <f t="shared" si="41"/>
        <v>0.5</v>
      </c>
      <c r="I163" s="1140"/>
      <c r="J163" s="1136">
        <v>0</v>
      </c>
      <c r="K163" s="1141">
        <f t="shared" si="42"/>
        <v>0</v>
      </c>
      <c r="L163" s="1141">
        <f t="shared" ref="L163:L173" si="46">+K163+L162</f>
        <v>0</v>
      </c>
      <c r="M163" s="1140"/>
      <c r="N163" s="1136">
        <v>0</v>
      </c>
      <c r="O163" s="1141">
        <f t="shared" ref="O163:O173" si="47">IF($D$237="True-Up Adjustment",N163-J163,0)</f>
        <v>0</v>
      </c>
      <c r="P163" s="1141">
        <f t="shared" ref="P163:P173" si="48">IF($D$237="True-Up Adjustment",IF(AND(J163&gt;=0,N163&gt;=0),IF(O163&gt;=0,K163+O163,N163/J163*K163),IF(AND(J163&lt;0,N163&lt;0),IF(O163&lt;0,K163+O163,N163/J163*K163),0)),0)</f>
        <v>0</v>
      </c>
      <c r="Q163" s="1141">
        <f t="shared" si="43"/>
        <v>0</v>
      </c>
      <c r="R163" s="1141">
        <f t="shared" ref="R163:R173" si="49">R162+P163+Q163</f>
        <v>0</v>
      </c>
      <c r="S163" s="1140"/>
    </row>
    <row r="164" spans="2:19">
      <c r="B164" s="1131">
        <f t="shared" si="44"/>
        <v>100</v>
      </c>
      <c r="D164" s="1137" t="s">
        <v>662</v>
      </c>
      <c r="E164" s="1136">
        <v>31</v>
      </c>
      <c r="F164" s="1138">
        <v>0</v>
      </c>
      <c r="G164" s="1138">
        <f t="shared" si="45"/>
        <v>214</v>
      </c>
      <c r="H164" s="1139">
        <f t="shared" si="41"/>
        <v>0.5</v>
      </c>
      <c r="I164" s="1140"/>
      <c r="J164" s="1136">
        <v>0</v>
      </c>
      <c r="K164" s="1141">
        <f t="shared" si="42"/>
        <v>0</v>
      </c>
      <c r="L164" s="1141">
        <f t="shared" si="46"/>
        <v>0</v>
      </c>
      <c r="M164" s="1140"/>
      <c r="N164" s="1136">
        <v>0</v>
      </c>
      <c r="O164" s="1141">
        <f t="shared" si="47"/>
        <v>0</v>
      </c>
      <c r="P164" s="1141">
        <f t="shared" si="48"/>
        <v>0</v>
      </c>
      <c r="Q164" s="1141">
        <f t="shared" si="43"/>
        <v>0</v>
      </c>
      <c r="R164" s="1141">
        <f t="shared" si="49"/>
        <v>0</v>
      </c>
      <c r="S164" s="1140"/>
    </row>
    <row r="165" spans="2:19">
      <c r="B165" s="1131">
        <f t="shared" si="44"/>
        <v>101</v>
      </c>
      <c r="D165" s="1137" t="s">
        <v>213</v>
      </c>
      <c r="E165" s="1136">
        <v>30</v>
      </c>
      <c r="F165" s="1138">
        <v>0</v>
      </c>
      <c r="G165" s="1138">
        <f t="shared" si="45"/>
        <v>214</v>
      </c>
      <c r="H165" s="1139">
        <f t="shared" si="41"/>
        <v>0.5</v>
      </c>
      <c r="I165" s="1140"/>
      <c r="J165" s="1136">
        <v>0</v>
      </c>
      <c r="K165" s="1141">
        <f t="shared" si="42"/>
        <v>0</v>
      </c>
      <c r="L165" s="1141">
        <f t="shared" si="46"/>
        <v>0</v>
      </c>
      <c r="M165" s="1140"/>
      <c r="N165" s="1136">
        <v>0</v>
      </c>
      <c r="O165" s="1141">
        <f t="shared" si="47"/>
        <v>0</v>
      </c>
      <c r="P165" s="1141">
        <f t="shared" si="48"/>
        <v>0</v>
      </c>
      <c r="Q165" s="1141">
        <f t="shared" si="43"/>
        <v>0</v>
      </c>
      <c r="R165" s="1141">
        <f t="shared" si="49"/>
        <v>0</v>
      </c>
      <c r="S165" s="1140"/>
    </row>
    <row r="166" spans="2:19">
      <c r="B166" s="1131">
        <f t="shared" si="44"/>
        <v>102</v>
      </c>
      <c r="D166" s="1137" t="s">
        <v>214</v>
      </c>
      <c r="E166" s="1136">
        <v>31</v>
      </c>
      <c r="F166" s="1138">
        <v>0</v>
      </c>
      <c r="G166" s="1138">
        <f t="shared" si="45"/>
        <v>214</v>
      </c>
      <c r="H166" s="1139">
        <f t="shared" si="41"/>
        <v>0.5</v>
      </c>
      <c r="I166" s="1140"/>
      <c r="J166" s="1136">
        <v>0</v>
      </c>
      <c r="K166" s="1141">
        <f t="shared" si="42"/>
        <v>0</v>
      </c>
      <c r="L166" s="1141">
        <f t="shared" si="46"/>
        <v>0</v>
      </c>
      <c r="M166" s="1140"/>
      <c r="N166" s="1136">
        <v>0</v>
      </c>
      <c r="O166" s="1141">
        <f t="shared" si="47"/>
        <v>0</v>
      </c>
      <c r="P166" s="1141">
        <f t="shared" si="48"/>
        <v>0</v>
      </c>
      <c r="Q166" s="1141">
        <f t="shared" si="43"/>
        <v>0</v>
      </c>
      <c r="R166" s="1141">
        <f t="shared" si="49"/>
        <v>0</v>
      </c>
      <c r="S166" s="1140"/>
    </row>
    <row r="167" spans="2:19">
      <c r="B167" s="1131">
        <f t="shared" si="44"/>
        <v>103</v>
      </c>
      <c r="D167" s="1137" t="s">
        <v>215</v>
      </c>
      <c r="E167" s="1136">
        <v>30</v>
      </c>
      <c r="F167" s="1138">
        <f t="shared" ref="F167:F172" si="50">E168+F168</f>
        <v>185</v>
      </c>
      <c r="G167" s="1138">
        <f t="shared" si="45"/>
        <v>214</v>
      </c>
      <c r="H167" s="1139">
        <f t="shared" si="41"/>
        <v>0.86448598130841126</v>
      </c>
      <c r="I167" s="1140"/>
      <c r="J167" s="1136">
        <v>0</v>
      </c>
      <c r="K167" s="1141">
        <f t="shared" si="42"/>
        <v>0</v>
      </c>
      <c r="L167" s="1141">
        <f t="shared" si="46"/>
        <v>0</v>
      </c>
      <c r="M167" s="1140"/>
      <c r="N167" s="1136">
        <v>0</v>
      </c>
      <c r="O167" s="1141">
        <f t="shared" si="47"/>
        <v>0</v>
      </c>
      <c r="P167" s="1141">
        <f t="shared" si="48"/>
        <v>0</v>
      </c>
      <c r="Q167" s="1141">
        <f t="shared" si="43"/>
        <v>0</v>
      </c>
      <c r="R167" s="1141">
        <f t="shared" si="49"/>
        <v>0</v>
      </c>
      <c r="S167" s="1140"/>
    </row>
    <row r="168" spans="2:19">
      <c r="B168" s="1131">
        <f t="shared" si="44"/>
        <v>104</v>
      </c>
      <c r="D168" s="1137" t="s">
        <v>637</v>
      </c>
      <c r="E168" s="1136">
        <v>31</v>
      </c>
      <c r="F168" s="1138">
        <f t="shared" si="50"/>
        <v>154</v>
      </c>
      <c r="G168" s="1138">
        <f t="shared" si="45"/>
        <v>214</v>
      </c>
      <c r="H168" s="1139">
        <f t="shared" si="41"/>
        <v>0.71962616822429903</v>
      </c>
      <c r="I168" s="1140"/>
      <c r="J168" s="1136">
        <v>0</v>
      </c>
      <c r="K168" s="1141">
        <f t="shared" si="42"/>
        <v>0</v>
      </c>
      <c r="L168" s="1141">
        <f t="shared" si="46"/>
        <v>0</v>
      </c>
      <c r="M168" s="1140"/>
      <c r="N168" s="1136">
        <v>0</v>
      </c>
      <c r="O168" s="1141">
        <f t="shared" si="47"/>
        <v>0</v>
      </c>
      <c r="P168" s="1141">
        <f t="shared" si="48"/>
        <v>0</v>
      </c>
      <c r="Q168" s="1141">
        <f t="shared" si="43"/>
        <v>0</v>
      </c>
      <c r="R168" s="1141">
        <f t="shared" si="49"/>
        <v>0</v>
      </c>
      <c r="S168" s="1140"/>
    </row>
    <row r="169" spans="2:19">
      <c r="B169" s="1131">
        <f t="shared" si="44"/>
        <v>105</v>
      </c>
      <c r="D169" s="1137" t="s">
        <v>663</v>
      </c>
      <c r="E169" s="1136">
        <v>31</v>
      </c>
      <c r="F169" s="1138">
        <f t="shared" si="50"/>
        <v>123</v>
      </c>
      <c r="G169" s="1138">
        <f t="shared" si="45"/>
        <v>214</v>
      </c>
      <c r="H169" s="1139">
        <f t="shared" si="41"/>
        <v>0.57476635514018692</v>
      </c>
      <c r="I169" s="1140"/>
      <c r="J169" s="1136">
        <v>0</v>
      </c>
      <c r="K169" s="1141">
        <f t="shared" si="42"/>
        <v>0</v>
      </c>
      <c r="L169" s="1141">
        <f t="shared" si="46"/>
        <v>0</v>
      </c>
      <c r="M169" s="1140"/>
      <c r="N169" s="1136">
        <v>0</v>
      </c>
      <c r="O169" s="1141">
        <f t="shared" si="47"/>
        <v>0</v>
      </c>
      <c r="P169" s="1141">
        <f t="shared" si="48"/>
        <v>0</v>
      </c>
      <c r="Q169" s="1141">
        <f t="shared" si="43"/>
        <v>0</v>
      </c>
      <c r="R169" s="1141">
        <f t="shared" si="49"/>
        <v>0</v>
      </c>
      <c r="S169" s="1140"/>
    </row>
    <row r="170" spans="2:19">
      <c r="B170" s="1131">
        <f t="shared" si="44"/>
        <v>106</v>
      </c>
      <c r="D170" s="1137" t="s">
        <v>639</v>
      </c>
      <c r="E170" s="1136">
        <v>30</v>
      </c>
      <c r="F170" s="1138">
        <f t="shared" si="50"/>
        <v>93</v>
      </c>
      <c r="G170" s="1138">
        <f t="shared" si="45"/>
        <v>214</v>
      </c>
      <c r="H170" s="1139">
        <f t="shared" si="41"/>
        <v>0.43457943925233644</v>
      </c>
      <c r="I170" s="1140"/>
      <c r="J170" s="1136">
        <v>0</v>
      </c>
      <c r="K170" s="1141">
        <f t="shared" si="42"/>
        <v>0</v>
      </c>
      <c r="L170" s="1141">
        <f t="shared" si="46"/>
        <v>0</v>
      </c>
      <c r="M170" s="1140"/>
      <c r="N170" s="1136">
        <v>0</v>
      </c>
      <c r="O170" s="1141">
        <f t="shared" si="47"/>
        <v>0</v>
      </c>
      <c r="P170" s="1141">
        <f t="shared" si="48"/>
        <v>0</v>
      </c>
      <c r="Q170" s="1141">
        <f t="shared" si="43"/>
        <v>0</v>
      </c>
      <c r="R170" s="1141">
        <f t="shared" si="49"/>
        <v>0</v>
      </c>
      <c r="S170" s="1140"/>
    </row>
    <row r="171" spans="2:19">
      <c r="B171" s="1131">
        <f t="shared" si="44"/>
        <v>107</v>
      </c>
      <c r="D171" s="1137" t="s">
        <v>640</v>
      </c>
      <c r="E171" s="1136">
        <v>31</v>
      </c>
      <c r="F171" s="1138">
        <f t="shared" si="50"/>
        <v>62</v>
      </c>
      <c r="G171" s="1138">
        <f t="shared" si="45"/>
        <v>214</v>
      </c>
      <c r="H171" s="1139">
        <f t="shared" si="41"/>
        <v>0.28971962616822428</v>
      </c>
      <c r="I171" s="1140"/>
      <c r="J171" s="1136">
        <v>0</v>
      </c>
      <c r="K171" s="1141">
        <f t="shared" si="42"/>
        <v>0</v>
      </c>
      <c r="L171" s="1141">
        <f t="shared" si="46"/>
        <v>0</v>
      </c>
      <c r="M171" s="1140"/>
      <c r="N171" s="1136">
        <v>0</v>
      </c>
      <c r="O171" s="1141">
        <f t="shared" si="47"/>
        <v>0</v>
      </c>
      <c r="P171" s="1141">
        <f t="shared" si="48"/>
        <v>0</v>
      </c>
      <c r="Q171" s="1141">
        <f t="shared" si="43"/>
        <v>0</v>
      </c>
      <c r="R171" s="1141">
        <f t="shared" si="49"/>
        <v>0</v>
      </c>
      <c r="S171" s="1140"/>
    </row>
    <row r="172" spans="2:19">
      <c r="B172" s="1131">
        <f t="shared" si="44"/>
        <v>108</v>
      </c>
      <c r="D172" s="1137" t="s">
        <v>641</v>
      </c>
      <c r="E172" s="1136">
        <v>30</v>
      </c>
      <c r="F172" s="1138">
        <f t="shared" si="50"/>
        <v>32</v>
      </c>
      <c r="G172" s="1138">
        <f t="shared" si="45"/>
        <v>214</v>
      </c>
      <c r="H172" s="1139">
        <f t="shared" si="41"/>
        <v>0.14953271028037382</v>
      </c>
      <c r="I172" s="1140"/>
      <c r="J172" s="1136">
        <v>0</v>
      </c>
      <c r="K172" s="1141">
        <f t="shared" si="42"/>
        <v>0</v>
      </c>
      <c r="L172" s="1141">
        <f t="shared" si="46"/>
        <v>0</v>
      </c>
      <c r="M172" s="1140"/>
      <c r="N172" s="1136">
        <v>0</v>
      </c>
      <c r="O172" s="1141">
        <f t="shared" si="47"/>
        <v>0</v>
      </c>
      <c r="P172" s="1141">
        <f t="shared" si="48"/>
        <v>0</v>
      </c>
      <c r="Q172" s="1141">
        <f t="shared" si="43"/>
        <v>0</v>
      </c>
      <c r="R172" s="1141">
        <f t="shared" si="49"/>
        <v>0</v>
      </c>
      <c r="S172" s="1140"/>
    </row>
    <row r="173" spans="2:19">
      <c r="B173" s="1131">
        <f t="shared" si="44"/>
        <v>109</v>
      </c>
      <c r="D173" s="1142" t="s">
        <v>895</v>
      </c>
      <c r="E173" s="1136">
        <v>31</v>
      </c>
      <c r="F173" s="1143">
        <v>1</v>
      </c>
      <c r="G173" s="1138">
        <f t="shared" si="45"/>
        <v>214</v>
      </c>
      <c r="H173" s="1139">
        <f t="shared" si="41"/>
        <v>4.6728971962616819E-3</v>
      </c>
      <c r="I173" s="1140"/>
      <c r="J173" s="1136">
        <v>0</v>
      </c>
      <c r="K173" s="1141">
        <f t="shared" si="42"/>
        <v>0</v>
      </c>
      <c r="L173" s="1141">
        <f t="shared" si="46"/>
        <v>0</v>
      </c>
      <c r="M173" s="1140"/>
      <c r="N173" s="1136">
        <v>0</v>
      </c>
      <c r="O173" s="1141">
        <f t="shared" si="47"/>
        <v>0</v>
      </c>
      <c r="P173" s="1141">
        <f t="shared" si="48"/>
        <v>0</v>
      </c>
      <c r="Q173" s="1141">
        <f t="shared" si="43"/>
        <v>0</v>
      </c>
      <c r="R173" s="1141">
        <f t="shared" si="49"/>
        <v>0</v>
      </c>
      <c r="S173" s="1140"/>
    </row>
    <row r="174" spans="2:19">
      <c r="B174" s="1131">
        <f t="shared" si="44"/>
        <v>110</v>
      </c>
      <c r="D174" s="1144" t="str">
        <f>"Total (Sum of Lines "&amp;B162&amp;" - "&amp;B173&amp;")"</f>
        <v>Total (Sum of Lines 98 - 109)</v>
      </c>
      <c r="E174" s="1145">
        <f>SUM(E162:E173)</f>
        <v>365</v>
      </c>
      <c r="F174" s="1146"/>
      <c r="G174" s="1146"/>
      <c r="H174" s="1147"/>
      <c r="I174" s="1148"/>
      <c r="J174" s="1145">
        <f>SUM(J162:J173)</f>
        <v>0</v>
      </c>
      <c r="K174" s="1145">
        <f>SUM(K162:K173)</f>
        <v>0</v>
      </c>
      <c r="L174" s="1145"/>
      <c r="M174" s="1148"/>
      <c r="N174" s="1145">
        <f>SUM(N162:N173)</f>
        <v>0</v>
      </c>
      <c r="O174" s="1145">
        <f>SUM(O162:O173)</f>
        <v>0</v>
      </c>
      <c r="P174" s="1145">
        <f>SUM(P162:P173)</f>
        <v>0</v>
      </c>
      <c r="Q174" s="1145">
        <f>SUM(Q162:Q173)</f>
        <v>0</v>
      </c>
      <c r="R174" s="1149"/>
      <c r="S174" s="1148"/>
    </row>
    <row r="175" spans="2:19">
      <c r="D175" s="1150"/>
      <c r="E175" s="1150"/>
      <c r="F175" s="1150"/>
      <c r="G175" s="1150"/>
      <c r="H175" s="1151"/>
      <c r="I175" s="1151"/>
      <c r="K175" s="1152"/>
      <c r="L175" s="1151"/>
      <c r="M175" s="1151"/>
      <c r="N175" s="1162"/>
      <c r="O175" s="1152"/>
      <c r="P175" s="1152"/>
      <c r="Q175" s="1152"/>
      <c r="R175" s="1151"/>
      <c r="S175" s="1151"/>
    </row>
    <row r="176" spans="2:19" ht="15" customHeight="1">
      <c r="B176" s="1131">
        <f>B174+1</f>
        <v>111</v>
      </c>
      <c r="D176" s="945" t="s">
        <v>1633</v>
      </c>
      <c r="I176" s="1151"/>
      <c r="J176" s="1136" t="str">
        <f>$J$30</f>
        <v>12/31/2021 (Actual)</v>
      </c>
      <c r="L176" s="1136">
        <f>'1E - ADIT Amortization'!$M$356+'1E - ADIT Amortization'!$M$365</f>
        <v>-676344.7</v>
      </c>
      <c r="M176" s="1153"/>
      <c r="N176" s="1136" t="str">
        <f>$N$14</f>
        <v>12/31/2021 (Actual)</v>
      </c>
      <c r="R176" s="1136">
        <f>'1E - ADIT Amortization'!$M$356+'1E - ADIT Amortization'!$M$365</f>
        <v>-676344.7</v>
      </c>
    </row>
    <row r="177" spans="2:19">
      <c r="B177" s="1131">
        <f>B176+1</f>
        <v>112</v>
      </c>
      <c r="D177" s="945" t="s">
        <v>1634</v>
      </c>
      <c r="I177" s="1151"/>
      <c r="J177" s="1154" t="s">
        <v>757</v>
      </c>
      <c r="L177" s="1155">
        <v>0</v>
      </c>
      <c r="M177" s="1156"/>
      <c r="N177" s="1154" t="s">
        <v>757</v>
      </c>
      <c r="R177" s="1155">
        <v>0</v>
      </c>
    </row>
    <row r="178" spans="2:19">
      <c r="B178" s="1131">
        <f>B177+1</f>
        <v>113</v>
      </c>
      <c r="D178" s="945" t="s">
        <v>1635</v>
      </c>
      <c r="I178" s="1151"/>
      <c r="J178" s="1144" t="str">
        <f>"(Col. "&amp;L157&amp;", Line "&amp;B176&amp;" + Line "&amp;B177&amp;")"</f>
        <v>(Col. (H), Line 111 + Line 112)</v>
      </c>
      <c r="L178" s="1157">
        <f>L176+L177</f>
        <v>-676344.7</v>
      </c>
      <c r="M178" s="1151"/>
      <c r="N178" s="1144" t="str">
        <f>"(Col. "&amp;R157&amp;", Line "&amp;B176&amp;" + Line "&amp;B177&amp;")"</f>
        <v>(Col. (M), Line 111 + Line 112)</v>
      </c>
      <c r="R178" s="1157">
        <f>R176+R177</f>
        <v>-676344.7</v>
      </c>
    </row>
    <row r="179" spans="2:19">
      <c r="I179" s="1151"/>
      <c r="L179" s="1157"/>
      <c r="M179" s="1151"/>
      <c r="R179" s="1157"/>
    </row>
    <row r="180" spans="2:19">
      <c r="B180" s="1131">
        <f>B178+1</f>
        <v>114</v>
      </c>
      <c r="D180" s="945" t="s">
        <v>1636</v>
      </c>
      <c r="I180" s="1151"/>
      <c r="J180" s="1136" t="str">
        <f>$J$34</f>
        <v>2022 Projected</v>
      </c>
      <c r="L180" s="1136">
        <f>'1E - ADIT Amortization'!$Q$356+'1E - ADIT Amortization'!$Q$365</f>
        <v>-289861.89999999997</v>
      </c>
      <c r="M180" s="1153"/>
      <c r="N180" s="1136" t="str">
        <f>$N$34</f>
        <v>12/31/2022 (Actual)</v>
      </c>
      <c r="R180" s="1136">
        <f>'1E - ADIT Amortization'!$Q$356+'1E - ADIT Amortization'!$Q$365</f>
        <v>-289861.89999999997</v>
      </c>
    </row>
    <row r="181" spans="2:19">
      <c r="B181" s="1131">
        <f>B180+1</f>
        <v>115</v>
      </c>
      <c r="D181" s="945" t="s">
        <v>1637</v>
      </c>
      <c r="I181" s="1151"/>
      <c r="J181" s="1154" t="s">
        <v>757</v>
      </c>
      <c r="L181" s="1155">
        <v>0</v>
      </c>
      <c r="M181" s="1151"/>
      <c r="N181" s="1154" t="s">
        <v>757</v>
      </c>
      <c r="R181" s="1155">
        <v>0</v>
      </c>
    </row>
    <row r="182" spans="2:19">
      <c r="B182" s="1131">
        <f>B181+1</f>
        <v>116</v>
      </c>
      <c r="D182" s="945" t="s">
        <v>1638</v>
      </c>
      <c r="I182" s="1151"/>
      <c r="J182" s="1144" t="str">
        <f>"(Col. "&amp;L157&amp;", Line "&amp;B180&amp;" + Line "&amp;B181&amp;")"</f>
        <v>(Col. (H), Line 114 + Line 115)</v>
      </c>
      <c r="L182" s="1157">
        <f>L180+L181</f>
        <v>-289861.89999999997</v>
      </c>
      <c r="M182" s="1151"/>
      <c r="N182" s="1144" t="str">
        <f>"(Col. "&amp;R157&amp;", Line "&amp;B180&amp;" + Line "&amp;B181&amp;")"</f>
        <v>(Col. (M), Line 114 + Line 115)</v>
      </c>
      <c r="R182" s="1157">
        <f>R180+R181</f>
        <v>-289861.89999999997</v>
      </c>
    </row>
    <row r="183" spans="2:19">
      <c r="I183" s="1151"/>
      <c r="L183" s="1157"/>
      <c r="M183" s="1151"/>
      <c r="R183" s="1157"/>
    </row>
    <row r="184" spans="2:19">
      <c r="B184" s="1131">
        <f>B182+1</f>
        <v>117</v>
      </c>
      <c r="D184" s="945" t="s">
        <v>1155</v>
      </c>
      <c r="I184" s="1151"/>
      <c r="J184" s="1144" t="str">
        <f>"([Col. "&amp;L157&amp;", Line "&amp;B178&amp;" + Line "&amp;B182&amp;"] /2)"</f>
        <v>([Col. (H), Line 113 + Line 116] /2)</v>
      </c>
      <c r="L184" s="1141">
        <f>(L178+L182)/2</f>
        <v>-483103.29999999993</v>
      </c>
      <c r="M184" s="1151"/>
      <c r="N184" s="1144" t="str">
        <f>"([Col. "&amp;R157&amp;", Line "&amp;B178&amp;" + Line "&amp;B182&amp;"] /2)"</f>
        <v>([Col. (M), Line 113 + Line 116] /2)</v>
      </c>
      <c r="R184" s="1141">
        <f>(R178+R182)/2</f>
        <v>-483103.29999999993</v>
      </c>
    </row>
    <row r="185" spans="2:19">
      <c r="B185" s="1131">
        <f>B184+1</f>
        <v>118</v>
      </c>
      <c r="D185" s="1250" t="s">
        <v>1639</v>
      </c>
      <c r="E185" s="1150"/>
      <c r="F185" s="1150"/>
      <c r="G185" s="1150"/>
      <c r="H185" s="1151"/>
      <c r="I185" s="1151"/>
      <c r="J185" s="1144" t="str">
        <f>"(Col. "&amp;L157&amp;", Line "&amp;B173&amp;" )"</f>
        <v>(Col. (H), Line 109 )</v>
      </c>
      <c r="K185" s="1152"/>
      <c r="L185" s="1141">
        <f>L173</f>
        <v>0</v>
      </c>
      <c r="M185" s="1151"/>
      <c r="N185" s="1144" t="str">
        <f>"(Col. "&amp;R157&amp;", Line "&amp;B173&amp;" )"</f>
        <v>(Col. (M), Line 109 )</v>
      </c>
      <c r="R185" s="1141">
        <f>R173</f>
        <v>0</v>
      </c>
    </row>
    <row r="186" spans="2:19" ht="13.5" thickBot="1">
      <c r="B186" s="1131">
        <f>B185+1</f>
        <v>119</v>
      </c>
      <c r="D186" s="1158" t="s">
        <v>1642</v>
      </c>
      <c r="E186" s="1150"/>
      <c r="F186" s="1150"/>
      <c r="G186" s="1150"/>
      <c r="H186" s="1151"/>
      <c r="I186" s="1151"/>
      <c r="J186" s="1144" t="str">
        <f>"(Col. "&amp;L157&amp;", Line "&amp;B184&amp;" + Line "&amp;B185&amp;")"</f>
        <v>(Col. (H), Line 117 + Line 118)</v>
      </c>
      <c r="K186" s="1152"/>
      <c r="L186" s="1159">
        <f>L184+L185</f>
        <v>-483103.29999999993</v>
      </c>
      <c r="M186" s="1151"/>
      <c r="N186" s="1144" t="str">
        <f>"(Col. "&amp;R157&amp;", Line "&amp;B184&amp;" + Line "&amp;B185&amp;")"</f>
        <v>(Col. (M), Line 117 + Line 118)</v>
      </c>
      <c r="R186" s="1159">
        <f>R184+R185</f>
        <v>-483103.29999999993</v>
      </c>
    </row>
    <row r="187" spans="2:19" ht="13">
      <c r="D187" s="1128"/>
    </row>
    <row r="188" spans="2:19" ht="13">
      <c r="D188" s="1128" t="s">
        <v>1643</v>
      </c>
      <c r="J188" s="1831"/>
      <c r="K188" s="1831"/>
      <c r="L188" s="1831"/>
      <c r="N188" s="1831"/>
      <c r="O188" s="1831"/>
      <c r="P188" s="1831"/>
      <c r="Q188" s="1831"/>
      <c r="R188" s="1831"/>
    </row>
    <row r="189" spans="2:19" ht="13">
      <c r="D189" s="1832" t="s">
        <v>1065</v>
      </c>
      <c r="E189" s="1833"/>
      <c r="F189" s="1833"/>
      <c r="G189" s="1833"/>
      <c r="H189" s="1834"/>
      <c r="I189" s="1132"/>
      <c r="J189" s="1835" t="s">
        <v>1630</v>
      </c>
      <c r="K189" s="1836"/>
      <c r="L189" s="1837"/>
      <c r="M189" s="1132"/>
      <c r="N189" s="1835" t="s">
        <v>1631</v>
      </c>
      <c r="O189" s="1836"/>
      <c r="P189" s="1836"/>
      <c r="Q189" s="1836"/>
      <c r="R189" s="1837"/>
      <c r="S189" s="1132"/>
    </row>
    <row r="190" spans="2:19" ht="13">
      <c r="D190" s="1133" t="s">
        <v>216</v>
      </c>
      <c r="E190" s="1133" t="s">
        <v>217</v>
      </c>
      <c r="F190" s="1133" t="s">
        <v>1565</v>
      </c>
      <c r="G190" s="1133" t="s">
        <v>1566</v>
      </c>
      <c r="H190" s="1133" t="s">
        <v>1567</v>
      </c>
      <c r="I190" s="1132"/>
      <c r="J190" s="1133" t="s">
        <v>1568</v>
      </c>
      <c r="K190" s="1133" t="s">
        <v>1569</v>
      </c>
      <c r="L190" s="1133" t="s">
        <v>1570</v>
      </c>
      <c r="M190" s="1132"/>
      <c r="N190" s="1133" t="s">
        <v>1571</v>
      </c>
      <c r="O190" s="1133" t="s">
        <v>1572</v>
      </c>
      <c r="P190" s="1133" t="s">
        <v>1573</v>
      </c>
      <c r="Q190" s="1133" t="s">
        <v>1574</v>
      </c>
      <c r="R190" s="1133" t="s">
        <v>1575</v>
      </c>
      <c r="S190" s="1132"/>
    </row>
    <row r="191" spans="2:19" ht="50">
      <c r="B191" s="1134" t="s">
        <v>1576</v>
      </c>
      <c r="D191" s="1135" t="s">
        <v>211</v>
      </c>
      <c r="E191" s="1135" t="s">
        <v>1066</v>
      </c>
      <c r="F191" s="1135" t="s">
        <v>1067</v>
      </c>
      <c r="G191" s="1135" t="s">
        <v>1068</v>
      </c>
      <c r="H191" s="1135" t="s">
        <v>1577</v>
      </c>
      <c r="I191" s="1361"/>
      <c r="J191" s="1135" t="s">
        <v>1069</v>
      </c>
      <c r="K191" s="1135" t="s">
        <v>1578</v>
      </c>
      <c r="L191" s="1135" t="s">
        <v>1579</v>
      </c>
      <c r="M191" s="1361"/>
      <c r="N191" s="1135" t="s">
        <v>1158</v>
      </c>
      <c r="O191" s="1135" t="s">
        <v>1580</v>
      </c>
      <c r="P191" s="1135" t="s">
        <v>1581</v>
      </c>
      <c r="Q191" s="1135" t="s">
        <v>1582</v>
      </c>
      <c r="R191" s="1135" t="s">
        <v>1583</v>
      </c>
      <c r="S191" s="1361"/>
    </row>
    <row r="192" spans="2:19">
      <c r="E192" s="1361"/>
      <c r="F192" s="1361"/>
      <c r="G192" s="1361"/>
      <c r="H192" s="1361"/>
      <c r="I192" s="1361"/>
      <c r="J192" s="1361"/>
      <c r="K192" s="1361"/>
      <c r="L192" s="1361"/>
      <c r="M192" s="1361"/>
      <c r="N192" s="1361"/>
      <c r="O192" s="1361"/>
      <c r="P192" s="1361"/>
      <c r="Q192" s="1361"/>
      <c r="R192" s="1361"/>
      <c r="S192" s="1361"/>
    </row>
    <row r="193" spans="2:19">
      <c r="B193" s="1131">
        <f>B186+1</f>
        <v>120</v>
      </c>
      <c r="D193" s="945" t="s">
        <v>1157</v>
      </c>
      <c r="E193" s="1361"/>
      <c r="F193" s="1361"/>
      <c r="G193" s="1361"/>
      <c r="H193" s="1361"/>
      <c r="I193" s="1361"/>
      <c r="J193" s="1136" t="str">
        <f>$J$14</f>
        <v>12/31/2021 (Actual)</v>
      </c>
      <c r="K193" s="1361"/>
      <c r="L193" s="1136">
        <f>'1E - ADIT Amortization'!M375</f>
        <v>0</v>
      </c>
      <c r="M193" s="1361"/>
      <c r="N193" s="1136" t="str">
        <f>$N$14</f>
        <v>12/31/2021 (Actual)</v>
      </c>
      <c r="O193" s="1361"/>
      <c r="P193" s="1361"/>
      <c r="Q193" s="1361"/>
      <c r="R193" s="1136">
        <v>0</v>
      </c>
      <c r="S193" s="1361"/>
    </row>
    <row r="194" spans="2:19">
      <c r="E194" s="1361"/>
      <c r="F194" s="1361"/>
      <c r="G194" s="1361"/>
      <c r="H194" s="1361"/>
      <c r="I194" s="1361"/>
      <c r="J194" s="1361"/>
      <c r="K194" s="1361"/>
      <c r="L194" s="1361"/>
      <c r="M194" s="1361"/>
      <c r="N194" s="1361"/>
      <c r="O194" s="1361"/>
      <c r="P194" s="1361"/>
      <c r="Q194" s="1361"/>
      <c r="R194" s="1361"/>
      <c r="S194" s="1361"/>
    </row>
    <row r="195" spans="2:19">
      <c r="B195" s="1131">
        <f>B193+1</f>
        <v>121</v>
      </c>
      <c r="D195" s="1137" t="s">
        <v>634</v>
      </c>
      <c r="E195" s="1136">
        <v>31</v>
      </c>
      <c r="F195" s="1138">
        <v>0</v>
      </c>
      <c r="G195" s="1138">
        <v>214</v>
      </c>
      <c r="H195" s="1139">
        <f t="shared" ref="H195:H206" si="51">IF(F195=0,0.5,F195/G195)</f>
        <v>0.5</v>
      </c>
      <c r="I195" s="1140"/>
      <c r="J195" s="1136">
        <v>0</v>
      </c>
      <c r="K195" s="1141">
        <f t="shared" ref="K195:K206" si="52">+J195*H195</f>
        <v>0</v>
      </c>
      <c r="L195" s="1141">
        <f>+K195</f>
        <v>0</v>
      </c>
      <c r="M195" s="1140"/>
      <c r="N195" s="1136">
        <v>0</v>
      </c>
      <c r="O195" s="1141">
        <f>IF($D$237="True-Up Adjustment",N195-J195,0)</f>
        <v>0</v>
      </c>
      <c r="P195" s="1141">
        <f>IF($D$237="True-Up Adjustment",IF(AND(J195&gt;=0,N195&gt;=0),IF(O195&gt;=0,K195+O195,N195/J195*K195),IF(AND(J195&lt;0,N195&lt;0),IF(O195&lt;0,K195+O195,N195/J195*K195),0)),0)</f>
        <v>0</v>
      </c>
      <c r="Q195" s="1141">
        <f t="shared" ref="Q195:Q206" si="53">IF(AND(J195&gt;=0,N195&lt;0),N195,IF(AND(J195&lt;0,N195&gt;=0),N195,0))</f>
        <v>0</v>
      </c>
      <c r="R195" s="1141">
        <f>+P195+Q195</f>
        <v>0</v>
      </c>
      <c r="S195" s="1140"/>
    </row>
    <row r="196" spans="2:19">
      <c r="B196" s="1131">
        <f t="shared" ref="B196:B207" si="54">+B195+1</f>
        <v>122</v>
      </c>
      <c r="D196" s="1137" t="s">
        <v>635</v>
      </c>
      <c r="E196" s="1136">
        <v>28</v>
      </c>
      <c r="F196" s="1138">
        <v>0</v>
      </c>
      <c r="G196" s="1138">
        <f t="shared" ref="G196:G206" si="55">G195</f>
        <v>214</v>
      </c>
      <c r="H196" s="1139">
        <f t="shared" si="51"/>
        <v>0.5</v>
      </c>
      <c r="I196" s="1140"/>
      <c r="J196" s="1136">
        <v>0</v>
      </c>
      <c r="K196" s="1141">
        <f t="shared" si="52"/>
        <v>0</v>
      </c>
      <c r="L196" s="1141">
        <f t="shared" ref="L196:L206" si="56">+K196+L195</f>
        <v>0</v>
      </c>
      <c r="M196" s="1140"/>
      <c r="N196" s="1136">
        <v>0</v>
      </c>
      <c r="O196" s="1141">
        <f t="shared" ref="O196:O206" si="57">IF($D$237="True-Up Adjustment",N196-J196,0)</f>
        <v>0</v>
      </c>
      <c r="P196" s="1141">
        <f t="shared" ref="P196:P206" si="58">IF($D$237="True-Up Adjustment",IF(AND(J196&gt;=0,N196&gt;=0),IF(O196&gt;=0,K196+O196,N196/J196*K196),IF(AND(J196&lt;0,N196&lt;0),IF(O196&lt;0,K196+O196,N196/J196*K196),0)),0)</f>
        <v>0</v>
      </c>
      <c r="Q196" s="1141">
        <f t="shared" si="53"/>
        <v>0</v>
      </c>
      <c r="R196" s="1141">
        <f t="shared" ref="R196:R206" si="59">R195+P196+Q196</f>
        <v>0</v>
      </c>
      <c r="S196" s="1140"/>
    </row>
    <row r="197" spans="2:19">
      <c r="B197" s="1131">
        <f t="shared" si="54"/>
        <v>123</v>
      </c>
      <c r="D197" s="1137" t="s">
        <v>662</v>
      </c>
      <c r="E197" s="1136">
        <v>31</v>
      </c>
      <c r="F197" s="1138">
        <v>0</v>
      </c>
      <c r="G197" s="1138">
        <f t="shared" si="55"/>
        <v>214</v>
      </c>
      <c r="H197" s="1139">
        <f t="shared" si="51"/>
        <v>0.5</v>
      </c>
      <c r="I197" s="1140"/>
      <c r="J197" s="1136">
        <v>0</v>
      </c>
      <c r="K197" s="1141">
        <f t="shared" si="52"/>
        <v>0</v>
      </c>
      <c r="L197" s="1141">
        <f t="shared" si="56"/>
        <v>0</v>
      </c>
      <c r="M197" s="1140"/>
      <c r="N197" s="1136">
        <v>0</v>
      </c>
      <c r="O197" s="1141">
        <f t="shared" si="57"/>
        <v>0</v>
      </c>
      <c r="P197" s="1141">
        <f t="shared" si="58"/>
        <v>0</v>
      </c>
      <c r="Q197" s="1141">
        <f t="shared" si="53"/>
        <v>0</v>
      </c>
      <c r="R197" s="1141">
        <f t="shared" si="59"/>
        <v>0</v>
      </c>
      <c r="S197" s="1140"/>
    </row>
    <row r="198" spans="2:19">
      <c r="B198" s="1131">
        <f t="shared" si="54"/>
        <v>124</v>
      </c>
      <c r="D198" s="1137" t="s">
        <v>213</v>
      </c>
      <c r="E198" s="1136">
        <v>30</v>
      </c>
      <c r="F198" s="1138">
        <v>0</v>
      </c>
      <c r="G198" s="1138">
        <f t="shared" si="55"/>
        <v>214</v>
      </c>
      <c r="H198" s="1139">
        <f t="shared" si="51"/>
        <v>0.5</v>
      </c>
      <c r="I198" s="1140"/>
      <c r="J198" s="1136">
        <v>0</v>
      </c>
      <c r="K198" s="1141">
        <f t="shared" si="52"/>
        <v>0</v>
      </c>
      <c r="L198" s="1141">
        <f t="shared" si="56"/>
        <v>0</v>
      </c>
      <c r="M198" s="1140"/>
      <c r="N198" s="1136">
        <v>0</v>
      </c>
      <c r="O198" s="1141">
        <f t="shared" si="57"/>
        <v>0</v>
      </c>
      <c r="P198" s="1141">
        <f t="shared" si="58"/>
        <v>0</v>
      </c>
      <c r="Q198" s="1141">
        <f t="shared" si="53"/>
        <v>0</v>
      </c>
      <c r="R198" s="1141">
        <f t="shared" si="59"/>
        <v>0</v>
      </c>
      <c r="S198" s="1140"/>
    </row>
    <row r="199" spans="2:19">
      <c r="B199" s="1131">
        <f t="shared" si="54"/>
        <v>125</v>
      </c>
      <c r="D199" s="1137" t="s">
        <v>214</v>
      </c>
      <c r="E199" s="1136">
        <v>31</v>
      </c>
      <c r="F199" s="1138">
        <v>0</v>
      </c>
      <c r="G199" s="1138">
        <f t="shared" si="55"/>
        <v>214</v>
      </c>
      <c r="H199" s="1139">
        <f t="shared" si="51"/>
        <v>0.5</v>
      </c>
      <c r="I199" s="1140"/>
      <c r="J199" s="1136">
        <v>0</v>
      </c>
      <c r="K199" s="1141">
        <f t="shared" si="52"/>
        <v>0</v>
      </c>
      <c r="L199" s="1141">
        <f t="shared" si="56"/>
        <v>0</v>
      </c>
      <c r="M199" s="1140"/>
      <c r="N199" s="1136">
        <v>0</v>
      </c>
      <c r="O199" s="1141">
        <f t="shared" si="57"/>
        <v>0</v>
      </c>
      <c r="P199" s="1141">
        <f t="shared" si="58"/>
        <v>0</v>
      </c>
      <c r="Q199" s="1141">
        <f t="shared" si="53"/>
        <v>0</v>
      </c>
      <c r="R199" s="1141">
        <f t="shared" si="59"/>
        <v>0</v>
      </c>
      <c r="S199" s="1140"/>
    </row>
    <row r="200" spans="2:19">
      <c r="B200" s="1131">
        <f t="shared" si="54"/>
        <v>126</v>
      </c>
      <c r="D200" s="1137" t="s">
        <v>215</v>
      </c>
      <c r="E200" s="1136">
        <v>30</v>
      </c>
      <c r="F200" s="1138">
        <f t="shared" ref="F200:F205" si="60">E201+F201</f>
        <v>185</v>
      </c>
      <c r="G200" s="1138">
        <f t="shared" si="55"/>
        <v>214</v>
      </c>
      <c r="H200" s="1139">
        <f t="shared" si="51"/>
        <v>0.86448598130841126</v>
      </c>
      <c r="I200" s="1140"/>
      <c r="J200" s="1136">
        <v>0</v>
      </c>
      <c r="K200" s="1141">
        <f t="shared" si="52"/>
        <v>0</v>
      </c>
      <c r="L200" s="1141">
        <f t="shared" si="56"/>
        <v>0</v>
      </c>
      <c r="M200" s="1140"/>
      <c r="N200" s="1136">
        <v>0</v>
      </c>
      <c r="O200" s="1141">
        <f t="shared" si="57"/>
        <v>0</v>
      </c>
      <c r="P200" s="1141">
        <f t="shared" si="58"/>
        <v>0</v>
      </c>
      <c r="Q200" s="1141">
        <f t="shared" si="53"/>
        <v>0</v>
      </c>
      <c r="R200" s="1141">
        <f t="shared" si="59"/>
        <v>0</v>
      </c>
      <c r="S200" s="1140"/>
    </row>
    <row r="201" spans="2:19">
      <c r="B201" s="1131">
        <f t="shared" si="54"/>
        <v>127</v>
      </c>
      <c r="D201" s="1137" t="s">
        <v>637</v>
      </c>
      <c r="E201" s="1136">
        <v>31</v>
      </c>
      <c r="F201" s="1138">
        <f t="shared" si="60"/>
        <v>154</v>
      </c>
      <c r="G201" s="1138">
        <f t="shared" si="55"/>
        <v>214</v>
      </c>
      <c r="H201" s="1139">
        <f t="shared" si="51"/>
        <v>0.71962616822429903</v>
      </c>
      <c r="I201" s="1140"/>
      <c r="J201" s="1136">
        <v>0</v>
      </c>
      <c r="K201" s="1141">
        <f t="shared" si="52"/>
        <v>0</v>
      </c>
      <c r="L201" s="1141">
        <f t="shared" si="56"/>
        <v>0</v>
      </c>
      <c r="M201" s="1140"/>
      <c r="N201" s="1136">
        <v>0</v>
      </c>
      <c r="O201" s="1141">
        <f t="shared" si="57"/>
        <v>0</v>
      </c>
      <c r="P201" s="1141">
        <f t="shared" si="58"/>
        <v>0</v>
      </c>
      <c r="Q201" s="1141">
        <f t="shared" si="53"/>
        <v>0</v>
      </c>
      <c r="R201" s="1141">
        <f t="shared" si="59"/>
        <v>0</v>
      </c>
      <c r="S201" s="1140"/>
    </row>
    <row r="202" spans="2:19">
      <c r="B202" s="1131">
        <f t="shared" si="54"/>
        <v>128</v>
      </c>
      <c r="D202" s="1137" t="s">
        <v>663</v>
      </c>
      <c r="E202" s="1136">
        <v>31</v>
      </c>
      <c r="F202" s="1138">
        <f t="shared" si="60"/>
        <v>123</v>
      </c>
      <c r="G202" s="1138">
        <f t="shared" si="55"/>
        <v>214</v>
      </c>
      <c r="H202" s="1139">
        <f t="shared" si="51"/>
        <v>0.57476635514018692</v>
      </c>
      <c r="I202" s="1140"/>
      <c r="J202" s="1136">
        <v>0</v>
      </c>
      <c r="K202" s="1141">
        <f t="shared" si="52"/>
        <v>0</v>
      </c>
      <c r="L202" s="1141">
        <f t="shared" si="56"/>
        <v>0</v>
      </c>
      <c r="M202" s="1140"/>
      <c r="N202" s="1136">
        <v>0</v>
      </c>
      <c r="O202" s="1141">
        <f t="shared" si="57"/>
        <v>0</v>
      </c>
      <c r="P202" s="1141">
        <f t="shared" si="58"/>
        <v>0</v>
      </c>
      <c r="Q202" s="1141">
        <f t="shared" si="53"/>
        <v>0</v>
      </c>
      <c r="R202" s="1141">
        <f t="shared" si="59"/>
        <v>0</v>
      </c>
      <c r="S202" s="1140"/>
    </row>
    <row r="203" spans="2:19">
      <c r="B203" s="1131">
        <f t="shared" si="54"/>
        <v>129</v>
      </c>
      <c r="D203" s="1137" t="s">
        <v>639</v>
      </c>
      <c r="E203" s="1136">
        <v>30</v>
      </c>
      <c r="F203" s="1138">
        <f t="shared" si="60"/>
        <v>93</v>
      </c>
      <c r="G203" s="1138">
        <f t="shared" si="55"/>
        <v>214</v>
      </c>
      <c r="H203" s="1139">
        <f t="shared" si="51"/>
        <v>0.43457943925233644</v>
      </c>
      <c r="I203" s="1140"/>
      <c r="J203" s="1136">
        <v>0</v>
      </c>
      <c r="K203" s="1141">
        <f t="shared" si="52"/>
        <v>0</v>
      </c>
      <c r="L203" s="1141">
        <f t="shared" si="56"/>
        <v>0</v>
      </c>
      <c r="M203" s="1140"/>
      <c r="N203" s="1136">
        <v>0</v>
      </c>
      <c r="O203" s="1141">
        <f t="shared" si="57"/>
        <v>0</v>
      </c>
      <c r="P203" s="1141">
        <f t="shared" si="58"/>
        <v>0</v>
      </c>
      <c r="Q203" s="1141">
        <f t="shared" si="53"/>
        <v>0</v>
      </c>
      <c r="R203" s="1141">
        <f t="shared" si="59"/>
        <v>0</v>
      </c>
      <c r="S203" s="1140"/>
    </row>
    <row r="204" spans="2:19">
      <c r="B204" s="1131">
        <f t="shared" si="54"/>
        <v>130</v>
      </c>
      <c r="D204" s="1137" t="s">
        <v>640</v>
      </c>
      <c r="E204" s="1136">
        <v>31</v>
      </c>
      <c r="F204" s="1138">
        <f t="shared" si="60"/>
        <v>62</v>
      </c>
      <c r="G204" s="1138">
        <f t="shared" si="55"/>
        <v>214</v>
      </c>
      <c r="H204" s="1139">
        <f t="shared" si="51"/>
        <v>0.28971962616822428</v>
      </c>
      <c r="I204" s="1140"/>
      <c r="J204" s="1136">
        <v>0</v>
      </c>
      <c r="K204" s="1141">
        <f t="shared" si="52"/>
        <v>0</v>
      </c>
      <c r="L204" s="1141">
        <f t="shared" si="56"/>
        <v>0</v>
      </c>
      <c r="M204" s="1140"/>
      <c r="N204" s="1136">
        <v>0</v>
      </c>
      <c r="O204" s="1141">
        <f t="shared" si="57"/>
        <v>0</v>
      </c>
      <c r="P204" s="1141">
        <f t="shared" si="58"/>
        <v>0</v>
      </c>
      <c r="Q204" s="1141">
        <f t="shared" si="53"/>
        <v>0</v>
      </c>
      <c r="R204" s="1141">
        <f t="shared" si="59"/>
        <v>0</v>
      </c>
      <c r="S204" s="1140"/>
    </row>
    <row r="205" spans="2:19">
      <c r="B205" s="1131">
        <f t="shared" si="54"/>
        <v>131</v>
      </c>
      <c r="D205" s="1137" t="s">
        <v>641</v>
      </c>
      <c r="E205" s="1136">
        <v>30</v>
      </c>
      <c r="F205" s="1138">
        <f t="shared" si="60"/>
        <v>32</v>
      </c>
      <c r="G205" s="1138">
        <f t="shared" si="55"/>
        <v>214</v>
      </c>
      <c r="H205" s="1139">
        <f t="shared" si="51"/>
        <v>0.14953271028037382</v>
      </c>
      <c r="I205" s="1140"/>
      <c r="J205" s="1136">
        <v>0</v>
      </c>
      <c r="K205" s="1141">
        <f t="shared" si="52"/>
        <v>0</v>
      </c>
      <c r="L205" s="1141">
        <f t="shared" si="56"/>
        <v>0</v>
      </c>
      <c r="M205" s="1140"/>
      <c r="N205" s="1136">
        <v>0</v>
      </c>
      <c r="O205" s="1141">
        <f t="shared" si="57"/>
        <v>0</v>
      </c>
      <c r="P205" s="1141">
        <f t="shared" si="58"/>
        <v>0</v>
      </c>
      <c r="Q205" s="1141">
        <f t="shared" si="53"/>
        <v>0</v>
      </c>
      <c r="R205" s="1141">
        <f t="shared" si="59"/>
        <v>0</v>
      </c>
      <c r="S205" s="1140"/>
    </row>
    <row r="206" spans="2:19">
      <c r="B206" s="1131">
        <f t="shared" si="54"/>
        <v>132</v>
      </c>
      <c r="D206" s="1142" t="s">
        <v>895</v>
      </c>
      <c r="E206" s="1136">
        <v>31</v>
      </c>
      <c r="F206" s="1143">
        <v>1</v>
      </c>
      <c r="G206" s="1138">
        <f t="shared" si="55"/>
        <v>214</v>
      </c>
      <c r="H206" s="1139">
        <f t="shared" si="51"/>
        <v>4.6728971962616819E-3</v>
      </c>
      <c r="I206" s="1140"/>
      <c r="J206" s="1136">
        <v>0</v>
      </c>
      <c r="K206" s="1141">
        <f t="shared" si="52"/>
        <v>0</v>
      </c>
      <c r="L206" s="1141">
        <f t="shared" si="56"/>
        <v>0</v>
      </c>
      <c r="M206" s="1140"/>
      <c r="N206" s="1136">
        <v>0</v>
      </c>
      <c r="O206" s="1141">
        <f t="shared" si="57"/>
        <v>0</v>
      </c>
      <c r="P206" s="1141">
        <f t="shared" si="58"/>
        <v>0</v>
      </c>
      <c r="Q206" s="1141">
        <f t="shared" si="53"/>
        <v>0</v>
      </c>
      <c r="R206" s="1141">
        <f t="shared" si="59"/>
        <v>0</v>
      </c>
      <c r="S206" s="1140"/>
    </row>
    <row r="207" spans="2:19">
      <c r="B207" s="1131">
        <f t="shared" si="54"/>
        <v>133</v>
      </c>
      <c r="D207" s="1144" t="str">
        <f>"Total (Sum of Lines "&amp;B195&amp;" - "&amp;B206&amp;")"</f>
        <v>Total (Sum of Lines 121 - 132)</v>
      </c>
      <c r="E207" s="1145">
        <f>SUM(E195:E206)</f>
        <v>365</v>
      </c>
      <c r="F207" s="1146"/>
      <c r="G207" s="1146"/>
      <c r="H207" s="1147"/>
      <c r="I207" s="1148"/>
      <c r="J207" s="1145">
        <f>SUM(J195:J206)</f>
        <v>0</v>
      </c>
      <c r="K207" s="1145">
        <f>SUM(K195:K206)</f>
        <v>0</v>
      </c>
      <c r="L207" s="1149"/>
      <c r="M207" s="1148"/>
      <c r="N207" s="1145">
        <f>SUM(N195:N206)</f>
        <v>0</v>
      </c>
      <c r="O207" s="1145">
        <f>SUM(O195:O206)</f>
        <v>0</v>
      </c>
      <c r="P207" s="1145">
        <f>SUM(P195:P206)</f>
        <v>0</v>
      </c>
      <c r="Q207" s="1145">
        <f>SUM(Q195:Q206)</f>
        <v>0</v>
      </c>
      <c r="R207" s="1149"/>
      <c r="S207" s="1148"/>
    </row>
    <row r="208" spans="2:19">
      <c r="D208" s="1150"/>
      <c r="E208" s="1150"/>
      <c r="F208" s="1150"/>
      <c r="G208" s="1150"/>
      <c r="H208" s="1151"/>
      <c r="I208" s="1151"/>
      <c r="K208" s="1152"/>
      <c r="L208" s="1151"/>
      <c r="M208" s="1151"/>
      <c r="N208" s="1162"/>
      <c r="O208" s="1152"/>
      <c r="P208" s="1152"/>
      <c r="Q208" s="1152"/>
      <c r="R208" s="1151"/>
      <c r="S208" s="1151"/>
    </row>
    <row r="209" spans="2:19">
      <c r="B209" s="1131">
        <f>B207+1</f>
        <v>134</v>
      </c>
      <c r="D209" s="945" t="s">
        <v>1633</v>
      </c>
      <c r="I209" s="1151"/>
      <c r="J209" s="1136" t="str">
        <f>$J$30</f>
        <v>12/31/2021 (Actual)</v>
      </c>
      <c r="L209" s="1136">
        <f>'1E - ADIT Amortization'!$Q$357+'1E - ADIT Amortization'!$Q$366</f>
        <v>0</v>
      </c>
      <c r="M209" s="1153"/>
      <c r="N209" s="1136" t="str">
        <f>$N$14</f>
        <v>12/31/2021 (Actual)</v>
      </c>
      <c r="R209" s="1136">
        <f>'1E - ADIT Amortization'!$Q$357+'1E - ADIT Amortization'!$Q$366</f>
        <v>0</v>
      </c>
    </row>
    <row r="210" spans="2:19">
      <c r="B210" s="1131">
        <f>B209+1</f>
        <v>135</v>
      </c>
      <c r="D210" s="945" t="s">
        <v>1634</v>
      </c>
      <c r="I210" s="1151"/>
      <c r="J210" s="1154" t="s">
        <v>757</v>
      </c>
      <c r="L210" s="1155">
        <v>0</v>
      </c>
      <c r="M210" s="1156"/>
      <c r="N210" s="1154" t="s">
        <v>757</v>
      </c>
      <c r="R210" s="1155">
        <v>0</v>
      </c>
    </row>
    <row r="211" spans="2:19">
      <c r="B211" s="1131">
        <f>B210+1</f>
        <v>136</v>
      </c>
      <c r="D211" s="945" t="s">
        <v>1635</v>
      </c>
      <c r="I211" s="1151"/>
      <c r="J211" s="1144" t="str">
        <f>"(Col. "&amp;L190&amp;", Line "&amp;B209&amp;" + Line "&amp;B210&amp;")"</f>
        <v>(Col. (H), Line 134 + Line 135)</v>
      </c>
      <c r="L211" s="1157">
        <f>L209+L210</f>
        <v>0</v>
      </c>
      <c r="M211" s="1151"/>
      <c r="N211" s="1144" t="str">
        <f>"(Col. "&amp;R190&amp;", Line "&amp;B209&amp;" + Line "&amp;B210&amp;")"</f>
        <v>(Col. (M), Line 134 + Line 135)</v>
      </c>
      <c r="R211" s="1157">
        <f>R209+R210</f>
        <v>0</v>
      </c>
    </row>
    <row r="212" spans="2:19">
      <c r="I212" s="1151"/>
      <c r="L212" s="1157"/>
      <c r="M212" s="1151"/>
      <c r="R212" s="1157"/>
    </row>
    <row r="213" spans="2:19">
      <c r="B213" s="1131">
        <f>B211+1</f>
        <v>137</v>
      </c>
      <c r="D213" s="945" t="s">
        <v>1636</v>
      </c>
      <c r="I213" s="1151"/>
      <c r="J213" s="1136" t="str">
        <f>$J$34</f>
        <v>2022 Projected</v>
      </c>
      <c r="L213" s="1136">
        <f>'1E - ADIT Amortization'!$Q$357+'1E - ADIT Amortization'!$Q$366</f>
        <v>0</v>
      </c>
      <c r="M213" s="1153"/>
      <c r="N213" s="1136" t="str">
        <f>$N$34</f>
        <v>12/31/2022 (Actual)</v>
      </c>
      <c r="R213" s="1136">
        <f>'1E - ADIT Amortization'!$Q$357+'1E - ADIT Amortization'!$Q$366</f>
        <v>0</v>
      </c>
    </row>
    <row r="214" spans="2:19">
      <c r="B214" s="1131">
        <f>B213+1</f>
        <v>138</v>
      </c>
      <c r="D214" s="945" t="s">
        <v>1637</v>
      </c>
      <c r="I214" s="1151"/>
      <c r="J214" s="1154" t="s">
        <v>757</v>
      </c>
      <c r="L214" s="1155">
        <v>0</v>
      </c>
      <c r="M214" s="1151"/>
      <c r="N214" s="1154" t="s">
        <v>757</v>
      </c>
      <c r="R214" s="1155">
        <v>0</v>
      </c>
    </row>
    <row r="215" spans="2:19">
      <c r="B215" s="1131">
        <f>B214+1</f>
        <v>139</v>
      </c>
      <c r="D215" s="945" t="s">
        <v>1638</v>
      </c>
      <c r="I215" s="1151"/>
      <c r="J215" s="1144" t="str">
        <f>"(Col. "&amp;L190&amp;", Line "&amp;B213&amp;" + Line "&amp;B214&amp;")"</f>
        <v>(Col. (H), Line 137 + Line 138)</v>
      </c>
      <c r="L215" s="1157">
        <f>L213+L214</f>
        <v>0</v>
      </c>
      <c r="M215" s="1151"/>
      <c r="N215" s="1144" t="str">
        <f>"(Col. "&amp;R190&amp;", Line "&amp;B213&amp;" + Line "&amp;B214&amp;")"</f>
        <v>(Col. (M), Line 137 + Line 138)</v>
      </c>
      <c r="R215" s="1157">
        <f>R213+R214</f>
        <v>0</v>
      </c>
    </row>
    <row r="216" spans="2:19">
      <c r="I216" s="1151"/>
      <c r="L216" s="1157"/>
      <c r="M216" s="1151"/>
      <c r="R216" s="1157"/>
    </row>
    <row r="217" spans="2:19">
      <c r="B217" s="1131">
        <f>B215+1</f>
        <v>140</v>
      </c>
      <c r="D217" s="945" t="s">
        <v>1155</v>
      </c>
      <c r="I217" s="1151"/>
      <c r="J217" s="1144" t="str">
        <f>"([Col. "&amp;L190&amp;", Line "&amp;B211&amp;" + Line "&amp;B215&amp;"] /2)"</f>
        <v>([Col. (H), Line 136 + Line 139] /2)</v>
      </c>
      <c r="L217" s="1141">
        <f>(L211+L215)/2</f>
        <v>0</v>
      </c>
      <c r="M217" s="1151"/>
      <c r="N217" s="1144" t="str">
        <f>"([Col. "&amp;R190&amp;", Line "&amp;B211&amp;" + Line "&amp;B215&amp;"] /2)"</f>
        <v>([Col. (M), Line 136 + Line 139] /2)</v>
      </c>
      <c r="R217" s="1141">
        <f>(R211+R215)/2</f>
        <v>0</v>
      </c>
    </row>
    <row r="218" spans="2:19">
      <c r="B218" s="1131">
        <f>B217+1</f>
        <v>141</v>
      </c>
      <c r="D218" s="1250" t="s">
        <v>1639</v>
      </c>
      <c r="E218" s="1150"/>
      <c r="F218" s="1150"/>
      <c r="G218" s="1150"/>
      <c r="H218" s="1151"/>
      <c r="I218" s="1151"/>
      <c r="J218" s="1144" t="str">
        <f>"(Col. "&amp;L190&amp;", Line "&amp;B206&amp;" )"</f>
        <v>(Col. (H), Line 132 )</v>
      </c>
      <c r="K218" s="1152"/>
      <c r="L218" s="1141">
        <f>L206</f>
        <v>0</v>
      </c>
      <c r="M218" s="1151"/>
      <c r="N218" s="1144" t="str">
        <f>"(Col. "&amp;R190&amp;", Line "&amp;B206&amp;" )"</f>
        <v>(Col. (M), Line 132 )</v>
      </c>
      <c r="R218" s="1141">
        <f>R206</f>
        <v>0</v>
      </c>
    </row>
    <row r="219" spans="2:19" ht="13.5" thickBot="1">
      <c r="B219" s="1131">
        <f>B218+1</f>
        <v>142</v>
      </c>
      <c r="D219" s="1158" t="s">
        <v>1644</v>
      </c>
      <c r="E219" s="1150"/>
      <c r="F219" s="1150"/>
      <c r="G219" s="1150"/>
      <c r="H219" s="1151"/>
      <c r="I219" s="1151"/>
      <c r="J219" s="1144" t="str">
        <f>"(Col. "&amp;L190&amp;", Line "&amp;B217&amp;" + Line "&amp;B218&amp;")"</f>
        <v>(Col. (H), Line 140 + Line 141)</v>
      </c>
      <c r="K219" s="1152"/>
      <c r="L219" s="1159">
        <f>L217+L218</f>
        <v>0</v>
      </c>
      <c r="M219" s="1151"/>
      <c r="N219" s="1144" t="str">
        <f>"(Col. "&amp;R190&amp;", Line "&amp;B217&amp;" + Line "&amp;B218&amp;")"</f>
        <v>(Col. (M), Line 140 + Line 141)</v>
      </c>
      <c r="R219" s="1159">
        <f>R217+R218</f>
        <v>0</v>
      </c>
    </row>
    <row r="220" spans="2:19">
      <c r="D220" s="1150"/>
      <c r="E220" s="1150"/>
      <c r="F220" s="1150"/>
      <c r="G220" s="1150"/>
      <c r="H220" s="1151"/>
      <c r="I220" s="1151"/>
      <c r="K220" s="1152"/>
      <c r="L220" s="1151"/>
      <c r="M220" s="1151"/>
      <c r="O220" s="1152"/>
      <c r="P220" s="1152"/>
      <c r="Q220" s="1152"/>
      <c r="R220" s="1151"/>
      <c r="S220" s="1151"/>
    </row>
    <row r="221" spans="2:19">
      <c r="D221" s="1150"/>
      <c r="E221" s="1150"/>
      <c r="F221" s="1150" t="s">
        <v>101</v>
      </c>
      <c r="G221" s="1150"/>
      <c r="H221" s="1151"/>
      <c r="I221" s="1151"/>
      <c r="K221" s="1152"/>
      <c r="L221" s="1151"/>
      <c r="M221" s="1151"/>
      <c r="O221" s="1152"/>
      <c r="P221" s="1152"/>
      <c r="Q221" s="1152"/>
      <c r="R221" s="1151"/>
      <c r="S221" s="1151"/>
    </row>
    <row r="222" spans="2:19" ht="13">
      <c r="D222" s="1848" t="s">
        <v>1654</v>
      </c>
      <c r="E222" s="1848"/>
      <c r="F222" s="1848"/>
      <c r="G222" s="1848"/>
      <c r="H222" s="1848"/>
      <c r="I222" s="1151"/>
      <c r="J222" s="1848" t="s">
        <v>1655</v>
      </c>
      <c r="K222" s="1848"/>
      <c r="L222" s="1848"/>
      <c r="M222" s="1848"/>
      <c r="N222" s="1848"/>
      <c r="O222" s="1152"/>
      <c r="P222" s="1152"/>
      <c r="Q222" s="1152"/>
      <c r="R222" s="1151"/>
      <c r="S222" s="1151"/>
    </row>
    <row r="223" spans="2:19" ht="12.75" customHeight="1">
      <c r="B223" s="1846" t="s">
        <v>1576</v>
      </c>
      <c r="C223" s="1360"/>
      <c r="D223" s="1355" t="s">
        <v>216</v>
      </c>
      <c r="E223" s="1356"/>
      <c r="F223" s="1355" t="s">
        <v>217</v>
      </c>
      <c r="G223" s="1357"/>
      <c r="H223" s="1354" t="s">
        <v>1565</v>
      </c>
      <c r="I223" s="1132"/>
      <c r="J223" s="1355" t="s">
        <v>1566</v>
      </c>
      <c r="K223" s="1356"/>
      <c r="L223" s="1355" t="s">
        <v>1567</v>
      </c>
      <c r="M223" s="1357"/>
      <c r="N223" s="1354" t="s">
        <v>1568</v>
      </c>
    </row>
    <row r="224" spans="2:19" ht="26">
      <c r="B224" s="1847"/>
      <c r="C224" s="1360"/>
      <c r="D224" s="1256" t="s">
        <v>1647</v>
      </c>
      <c r="E224" s="1257"/>
      <c r="F224" s="1258" t="s">
        <v>1648</v>
      </c>
      <c r="G224" s="1259"/>
      <c r="H224" s="1255" t="s">
        <v>1656</v>
      </c>
      <c r="J224" s="1256" t="s">
        <v>1647</v>
      </c>
      <c r="K224" s="1257"/>
      <c r="L224" s="1258" t="s">
        <v>1648</v>
      </c>
      <c r="M224" s="1259"/>
      <c r="N224" s="1255" t="s">
        <v>1649</v>
      </c>
      <c r="O224" s="1152"/>
      <c r="P224" s="1152"/>
      <c r="Q224" s="1152"/>
      <c r="R224" s="1151"/>
      <c r="S224" s="1151"/>
    </row>
    <row r="225" spans="1:19" ht="5.15" customHeight="1">
      <c r="B225" s="945"/>
      <c r="E225" s="1150"/>
      <c r="K225" s="1150"/>
      <c r="O225" s="1152"/>
      <c r="P225" s="1152"/>
      <c r="Q225" s="1152"/>
      <c r="R225" s="1151"/>
      <c r="S225" s="1151"/>
    </row>
    <row r="226" spans="1:19">
      <c r="B226" s="1131">
        <f>B219+1</f>
        <v>143</v>
      </c>
      <c r="D226" s="1260" t="s">
        <v>1650</v>
      </c>
      <c r="F226" s="1261" t="str">
        <f>"(Col. "&amp;L124&amp;", Line "&amp;B153&amp;")"</f>
        <v>(Col. (H), Line 96)</v>
      </c>
      <c r="G226" s="1262"/>
      <c r="H226" s="1263">
        <f>L153</f>
        <v>-44434.6875</v>
      </c>
      <c r="I226" s="1262"/>
      <c r="J226" s="1260" t="s">
        <v>1650</v>
      </c>
      <c r="L226" s="1261" t="str">
        <f>"(Col. "&amp;R124&amp;", Line "&amp;B153&amp;")"</f>
        <v>(Col. (M), Line 96)</v>
      </c>
      <c r="M226" s="1262"/>
      <c r="N226" s="1263">
        <f>R153</f>
        <v>-44434.6875</v>
      </c>
      <c r="O226" s="1152"/>
      <c r="P226" s="1152"/>
      <c r="Q226" s="1152"/>
      <c r="R226" s="1151"/>
      <c r="S226" s="1151"/>
    </row>
    <row r="227" spans="1:19">
      <c r="B227" s="1131">
        <f>B226+1</f>
        <v>144</v>
      </c>
      <c r="D227" s="1260" t="s">
        <v>1651</v>
      </c>
      <c r="F227" s="1261" t="str">
        <f>"(Col. "&amp;L157&amp;", Line "&amp;B186&amp;")"</f>
        <v>(Col. (H), Line 119)</v>
      </c>
      <c r="H227" s="1264">
        <f>L186</f>
        <v>-483103.29999999993</v>
      </c>
      <c r="J227" s="1260" t="s">
        <v>1651</v>
      </c>
      <c r="L227" s="1261" t="str">
        <f>"(Col. "&amp;R157&amp;", Line "&amp;B186&amp;")"</f>
        <v>(Col. (M), Line 119)</v>
      </c>
      <c r="N227" s="1264">
        <f>R186</f>
        <v>-483103.29999999993</v>
      </c>
      <c r="O227" s="1152"/>
      <c r="P227" s="1152"/>
      <c r="Q227" s="1152"/>
      <c r="R227" s="1151"/>
      <c r="S227" s="1151"/>
    </row>
    <row r="228" spans="1:19">
      <c r="B228" s="1131">
        <f>B227+1</f>
        <v>145</v>
      </c>
      <c r="D228" s="1260" t="s">
        <v>1652</v>
      </c>
      <c r="F228" s="1261" t="str">
        <f>"(Col. "&amp;L190&amp;", Line "&amp;B219&amp;")"</f>
        <v>(Col. (H), Line 142)</v>
      </c>
      <c r="H228" s="1264">
        <f>L219</f>
        <v>0</v>
      </c>
      <c r="J228" s="1260" t="s">
        <v>1652</v>
      </c>
      <c r="L228" s="1261" t="str">
        <f>"(Col. "&amp;R190&amp;", Line "&amp;B219&amp;")"</f>
        <v>(Col. (M), Line 142)</v>
      </c>
      <c r="N228" s="1264">
        <f>R219</f>
        <v>0</v>
      </c>
      <c r="O228" s="1152"/>
      <c r="P228" s="1152"/>
      <c r="Q228" s="1152"/>
      <c r="R228" s="1151"/>
      <c r="S228" s="1151"/>
    </row>
    <row r="229" spans="1:19" ht="5.15" customHeight="1">
      <c r="D229" s="1150"/>
      <c r="E229" s="1150"/>
      <c r="J229" s="1150"/>
      <c r="K229" s="1150"/>
      <c r="O229" s="1152"/>
      <c r="P229" s="1152"/>
      <c r="Q229" s="1152"/>
      <c r="R229" s="1151"/>
      <c r="S229" s="1151"/>
    </row>
    <row r="230" spans="1:19" ht="13">
      <c r="B230" s="1131">
        <f>B228+1</f>
        <v>146</v>
      </c>
      <c r="D230" s="14" t="s">
        <v>1442</v>
      </c>
      <c r="E230" s="1150"/>
      <c r="F230" s="1261" t="s">
        <v>1876</v>
      </c>
      <c r="G230" s="1265"/>
      <c r="H230" s="1266">
        <f>SUM(H226:H229)</f>
        <v>-527537.98749999993</v>
      </c>
      <c r="I230" s="1265"/>
      <c r="J230" s="14" t="s">
        <v>1442</v>
      </c>
      <c r="K230" s="1150"/>
      <c r="L230" s="1267" t="s">
        <v>1876</v>
      </c>
      <c r="M230" s="1265"/>
      <c r="N230" s="1266">
        <f>SUM(N226:N229)</f>
        <v>-527537.98749999993</v>
      </c>
      <c r="O230" s="1152"/>
      <c r="P230" s="1152"/>
      <c r="Q230" s="1152"/>
      <c r="R230" s="1151"/>
      <c r="S230" s="1151"/>
    </row>
    <row r="231" spans="1:19">
      <c r="D231" s="1150"/>
      <c r="E231" s="1150"/>
      <c r="F231" s="1150"/>
      <c r="G231" s="1150"/>
      <c r="H231" s="1151"/>
      <c r="I231" s="1151"/>
      <c r="K231" s="1152"/>
      <c r="L231" s="1151"/>
      <c r="M231" s="1151"/>
      <c r="O231" s="1152"/>
      <c r="P231" s="1152"/>
      <c r="Q231" s="1152"/>
      <c r="R231" s="1151"/>
      <c r="S231" s="1151"/>
    </row>
    <row r="232" spans="1:19" ht="13">
      <c r="A232" s="1163"/>
      <c r="B232" s="1164" t="s">
        <v>1542</v>
      </c>
      <c r="C232" s="1163"/>
      <c r="D232" s="1163"/>
      <c r="E232" s="1163"/>
      <c r="F232" s="1163"/>
      <c r="G232" s="1163"/>
      <c r="H232" s="1163"/>
      <c r="I232" s="1163"/>
      <c r="J232" s="1163"/>
      <c r="K232" s="1163"/>
      <c r="L232" s="1163"/>
      <c r="M232" s="1163"/>
      <c r="N232" s="1163"/>
      <c r="O232" s="1163"/>
      <c r="P232" s="1163"/>
      <c r="Q232" s="1163"/>
      <c r="R232" s="1163"/>
      <c r="S232" s="1163"/>
    </row>
    <row r="234" spans="1:19">
      <c r="B234" s="1829" t="s">
        <v>1601</v>
      </c>
      <c r="C234" s="1829"/>
      <c r="D234" s="1829"/>
      <c r="E234" s="1829"/>
      <c r="F234" s="1829"/>
      <c r="G234" s="1829"/>
      <c r="H234" s="1829"/>
      <c r="I234" s="1829"/>
      <c r="J234" s="1829"/>
      <c r="K234" s="1829"/>
      <c r="L234" s="1829"/>
      <c r="M234" s="1151"/>
      <c r="O234" s="1152"/>
      <c r="P234" s="1152"/>
      <c r="Q234" s="1152"/>
      <c r="R234" s="1151"/>
      <c r="S234" s="1151"/>
    </row>
    <row r="235" spans="1:19">
      <c r="B235" s="1829"/>
      <c r="C235" s="1829"/>
      <c r="D235" s="1829"/>
      <c r="E235" s="1829"/>
      <c r="F235" s="1829"/>
      <c r="G235" s="1829"/>
      <c r="H235" s="1829"/>
      <c r="I235" s="1829"/>
      <c r="J235" s="1829"/>
      <c r="K235" s="1829"/>
      <c r="L235" s="1829"/>
      <c r="M235" s="1151"/>
      <c r="O235" s="1152"/>
      <c r="P235" s="1152"/>
      <c r="Q235" s="1152"/>
      <c r="R235" s="1151"/>
      <c r="S235" s="1151"/>
    </row>
    <row r="236" spans="1:19">
      <c r="D236" s="1150"/>
      <c r="E236" s="1150"/>
      <c r="F236" s="1150"/>
      <c r="G236" s="1150"/>
      <c r="H236" s="1151"/>
      <c r="I236" s="1151"/>
      <c r="K236" s="1152"/>
      <c r="L236" s="1151"/>
      <c r="M236" s="1151"/>
      <c r="O236" s="1152"/>
      <c r="P236" s="1152"/>
      <c r="Q236" s="1152"/>
      <c r="R236" s="1151"/>
      <c r="S236" s="1151"/>
    </row>
    <row r="237" spans="1:19" ht="13">
      <c r="B237" s="1129" t="s">
        <v>1602</v>
      </c>
      <c r="D237" s="1165" t="s">
        <v>2153</v>
      </c>
      <c r="E237" s="1166" t="str">
        <f>IF(D237="Projected Activity","Check",IF(D237="True-Up Adjustment","Check","Error"))</f>
        <v>Check</v>
      </c>
      <c r="F237" s="1150"/>
      <c r="G237" s="1150"/>
      <c r="H237" s="1151"/>
      <c r="I237" s="1151"/>
      <c r="K237" s="1152"/>
      <c r="L237" s="1151"/>
      <c r="M237" s="1151"/>
      <c r="O237" s="1152"/>
      <c r="P237" s="1152"/>
      <c r="Q237" s="1152"/>
      <c r="R237" s="1151"/>
      <c r="S237" s="1151"/>
    </row>
    <row r="238" spans="1:19">
      <c r="D238" s="1150"/>
      <c r="E238" s="1150"/>
      <c r="F238" s="1150"/>
      <c r="G238" s="1150"/>
      <c r="H238" s="1151"/>
      <c r="I238" s="1151"/>
      <c r="K238" s="1152"/>
      <c r="L238" s="1151"/>
      <c r="M238" s="1151"/>
      <c r="O238" s="1152"/>
      <c r="P238" s="1152"/>
      <c r="Q238" s="1152"/>
      <c r="R238" s="1151"/>
      <c r="S238" s="1151"/>
    </row>
    <row r="239" spans="1:19">
      <c r="B239" s="1838" t="s">
        <v>1603</v>
      </c>
      <c r="C239" s="1838"/>
      <c r="D239" s="1838"/>
      <c r="E239" s="1838"/>
      <c r="F239" s="1838"/>
      <c r="G239" s="1838"/>
      <c r="H239" s="1838"/>
      <c r="I239" s="1838"/>
      <c r="J239" s="1838"/>
      <c r="K239" s="1838"/>
      <c r="L239" s="1838"/>
      <c r="M239" s="1151"/>
      <c r="O239" s="1152"/>
      <c r="P239" s="1152"/>
      <c r="Q239" s="1152"/>
      <c r="R239" s="1151"/>
      <c r="S239" s="1151"/>
    </row>
    <row r="240" spans="1:19">
      <c r="B240" s="1838"/>
      <c r="C240" s="1838"/>
      <c r="D240" s="1838"/>
      <c r="E240" s="1838"/>
      <c r="F240" s="1838"/>
      <c r="G240" s="1838"/>
      <c r="H240" s="1838"/>
      <c r="I240" s="1838"/>
      <c r="J240" s="1838"/>
      <c r="K240" s="1838"/>
      <c r="L240" s="1838"/>
      <c r="M240" s="1151"/>
      <c r="O240" s="1152"/>
      <c r="P240" s="1152"/>
      <c r="Q240" s="1152"/>
      <c r="R240" s="1151"/>
      <c r="S240" s="1151"/>
    </row>
    <row r="241" spans="1:19">
      <c r="D241" s="1150"/>
      <c r="E241" s="1150"/>
      <c r="F241" s="1150"/>
      <c r="G241" s="1150"/>
      <c r="H241" s="1151"/>
      <c r="I241" s="1151"/>
      <c r="K241" s="1152"/>
      <c r="L241" s="1151"/>
      <c r="M241" s="1151"/>
      <c r="O241" s="1152"/>
      <c r="P241" s="1152"/>
      <c r="Q241" s="1152"/>
      <c r="R241" s="1151"/>
      <c r="S241" s="1151"/>
    </row>
    <row r="242" spans="1:19" ht="13">
      <c r="A242" s="1163"/>
      <c r="B242" s="1164" t="s">
        <v>1078</v>
      </c>
      <c r="C242" s="1163"/>
      <c r="D242" s="1163"/>
      <c r="E242" s="1163"/>
      <c r="F242" s="1163"/>
      <c r="G242" s="1163"/>
      <c r="H242" s="1163"/>
      <c r="I242" s="1163"/>
      <c r="J242" s="1163"/>
      <c r="K242" s="1163"/>
      <c r="L242" s="1163"/>
      <c r="M242" s="1163"/>
      <c r="N242" s="1163"/>
      <c r="O242" s="1163"/>
      <c r="P242" s="1163"/>
      <c r="Q242" s="1163"/>
      <c r="R242" s="1163"/>
      <c r="S242" s="1163"/>
    </row>
    <row r="244" spans="1:19" ht="15.75" customHeight="1">
      <c r="A244" s="1128"/>
      <c r="B244" s="1129" t="s">
        <v>9</v>
      </c>
      <c r="C244" s="1829" t="s">
        <v>1657</v>
      </c>
      <c r="D244" s="1829"/>
      <c r="E244" s="1829"/>
      <c r="F244" s="1829"/>
      <c r="G244" s="1829"/>
      <c r="H244" s="1829"/>
      <c r="I244" s="1829"/>
      <c r="J244" s="1829"/>
      <c r="K244" s="1829"/>
      <c r="L244" s="1829"/>
    </row>
    <row r="245" spans="1:19" ht="13">
      <c r="A245" s="1128"/>
      <c r="B245" s="1129"/>
      <c r="C245" s="1829"/>
      <c r="D245" s="1829"/>
      <c r="E245" s="1829"/>
      <c r="F245" s="1829"/>
      <c r="G245" s="1829"/>
      <c r="H245" s="1829"/>
      <c r="I245" s="1829"/>
      <c r="J245" s="1829"/>
      <c r="K245" s="1829"/>
      <c r="L245" s="1829"/>
    </row>
    <row r="246" spans="1:19" ht="13">
      <c r="A246" s="1128"/>
      <c r="B246" s="1129"/>
      <c r="C246" s="1829"/>
      <c r="D246" s="1829"/>
      <c r="E246" s="1829"/>
      <c r="F246" s="1829"/>
      <c r="G246" s="1829"/>
      <c r="H246" s="1829"/>
      <c r="I246" s="1829"/>
      <c r="J246" s="1829"/>
      <c r="K246" s="1829"/>
      <c r="L246" s="1829"/>
    </row>
    <row r="247" spans="1:19">
      <c r="C247" s="1829"/>
      <c r="D247" s="1829"/>
      <c r="E247" s="1829"/>
      <c r="F247" s="1829"/>
      <c r="G247" s="1829"/>
      <c r="H247" s="1829"/>
      <c r="I247" s="1829"/>
      <c r="J247" s="1829"/>
      <c r="K247" s="1829"/>
      <c r="L247" s="1829"/>
    </row>
    <row r="248" spans="1:19">
      <c r="C248" s="1829"/>
      <c r="D248" s="1829"/>
      <c r="E248" s="1829"/>
      <c r="F248" s="1829"/>
      <c r="G248" s="1829"/>
      <c r="H248" s="1829"/>
      <c r="I248" s="1829"/>
      <c r="J248" s="1829"/>
      <c r="K248" s="1829"/>
      <c r="L248" s="1829"/>
    </row>
    <row r="249" spans="1:19" ht="15.75" customHeight="1">
      <c r="A249" s="1128"/>
      <c r="B249" s="1129" t="s">
        <v>10</v>
      </c>
      <c r="C249" s="1829" t="s">
        <v>1658</v>
      </c>
      <c r="D249" s="1829"/>
      <c r="E249" s="1829"/>
      <c r="F249" s="1829"/>
      <c r="G249" s="1829"/>
      <c r="H249" s="1829"/>
      <c r="I249" s="1829"/>
      <c r="J249" s="1829"/>
      <c r="K249" s="1829"/>
      <c r="L249" s="1829"/>
    </row>
    <row r="250" spans="1:19" ht="13">
      <c r="A250" s="1128"/>
      <c r="B250" s="1129"/>
      <c r="C250" s="1829"/>
      <c r="D250" s="1829"/>
      <c r="E250" s="1829"/>
      <c r="F250" s="1829"/>
      <c r="G250" s="1829"/>
      <c r="H250" s="1829"/>
      <c r="I250" s="1829"/>
      <c r="J250" s="1829"/>
      <c r="K250" s="1829"/>
      <c r="L250" s="1829"/>
    </row>
    <row r="251" spans="1:19" ht="13">
      <c r="A251" s="1128"/>
      <c r="B251" s="1129"/>
      <c r="C251" s="1829"/>
      <c r="D251" s="1829"/>
      <c r="E251" s="1829"/>
      <c r="F251" s="1829"/>
      <c r="G251" s="1829"/>
      <c r="H251" s="1829"/>
      <c r="I251" s="1829"/>
      <c r="J251" s="1829"/>
      <c r="K251" s="1829"/>
      <c r="L251" s="1829"/>
    </row>
    <row r="252" spans="1:19" ht="13">
      <c r="A252" s="1128"/>
      <c r="B252" s="1129"/>
      <c r="C252" s="1829"/>
      <c r="D252" s="1829"/>
      <c r="E252" s="1829"/>
      <c r="F252" s="1829"/>
      <c r="G252" s="1829"/>
      <c r="H252" s="1829"/>
      <c r="I252" s="1829"/>
      <c r="J252" s="1829"/>
      <c r="K252" s="1829"/>
      <c r="L252" s="1829"/>
    </row>
    <row r="253" spans="1:19" ht="13">
      <c r="A253" s="1128"/>
      <c r="B253" s="1129"/>
      <c r="C253" s="1829"/>
      <c r="D253" s="1829"/>
      <c r="E253" s="1829"/>
      <c r="F253" s="1829"/>
      <c r="G253" s="1829"/>
      <c r="H253" s="1829"/>
      <c r="I253" s="1829"/>
      <c r="J253" s="1829"/>
      <c r="K253" s="1829"/>
      <c r="L253" s="1829"/>
    </row>
    <row r="254" spans="1:19" ht="13">
      <c r="A254" s="1128"/>
      <c r="B254" s="1129"/>
      <c r="C254" s="1829"/>
      <c r="D254" s="1829"/>
      <c r="E254" s="1829"/>
      <c r="F254" s="1829"/>
      <c r="G254" s="1829"/>
      <c r="H254" s="1829"/>
      <c r="I254" s="1829"/>
      <c r="J254" s="1829"/>
      <c r="K254" s="1829"/>
      <c r="L254" s="1829"/>
    </row>
    <row r="255" spans="1:19" ht="13">
      <c r="A255" s="1128"/>
      <c r="B255" s="1129"/>
      <c r="C255" s="1829"/>
      <c r="D255" s="1829"/>
      <c r="E255" s="1829"/>
      <c r="F255" s="1829"/>
      <c r="G255" s="1829"/>
      <c r="H255" s="1829"/>
      <c r="I255" s="1829"/>
      <c r="J255" s="1829"/>
      <c r="K255" s="1829"/>
      <c r="L255" s="1829"/>
    </row>
    <row r="256" spans="1:19" ht="13">
      <c r="A256" s="1128"/>
      <c r="B256" s="1129"/>
      <c r="C256" s="1829"/>
      <c r="D256" s="1829"/>
      <c r="E256" s="1829"/>
      <c r="F256" s="1829"/>
      <c r="G256" s="1829"/>
      <c r="H256" s="1829"/>
      <c r="I256" s="1829"/>
      <c r="J256" s="1829"/>
      <c r="K256" s="1829"/>
      <c r="L256" s="1829"/>
    </row>
    <row r="257" spans="1:12">
      <c r="C257" s="1829"/>
      <c r="D257" s="1829"/>
      <c r="E257" s="1829"/>
      <c r="F257" s="1829"/>
      <c r="G257" s="1829"/>
      <c r="H257" s="1829"/>
      <c r="I257" s="1829"/>
      <c r="J257" s="1829"/>
      <c r="K257" s="1829"/>
      <c r="L257" s="1829"/>
    </row>
    <row r="258" spans="1:12" ht="15.75" customHeight="1">
      <c r="A258" s="1128"/>
      <c r="B258" s="1129" t="s">
        <v>11</v>
      </c>
      <c r="C258" s="1829" t="s">
        <v>1659</v>
      </c>
      <c r="D258" s="1829"/>
      <c r="E258" s="1829"/>
      <c r="F258" s="1829"/>
      <c r="G258" s="1829"/>
      <c r="H258" s="1829"/>
      <c r="I258" s="1829"/>
      <c r="J258" s="1829"/>
      <c r="K258" s="1829"/>
      <c r="L258" s="1829"/>
    </row>
    <row r="259" spans="1:12" ht="13">
      <c r="A259" s="1128"/>
      <c r="B259" s="1129"/>
      <c r="C259" s="1829"/>
      <c r="D259" s="1829"/>
      <c r="E259" s="1829"/>
      <c r="F259" s="1829"/>
      <c r="G259" s="1829"/>
      <c r="H259" s="1829"/>
      <c r="I259" s="1829"/>
      <c r="J259" s="1829"/>
      <c r="K259" s="1829"/>
      <c r="L259" s="1829"/>
    </row>
    <row r="260" spans="1:12" ht="13">
      <c r="A260" s="1128"/>
      <c r="B260" s="1129"/>
      <c r="C260" s="1829"/>
      <c r="D260" s="1829"/>
      <c r="E260" s="1829"/>
      <c r="F260" s="1829"/>
      <c r="G260" s="1829"/>
      <c r="H260" s="1829"/>
      <c r="I260" s="1829"/>
      <c r="J260" s="1829"/>
      <c r="K260" s="1829"/>
      <c r="L260" s="1829"/>
    </row>
    <row r="261" spans="1:12" ht="13">
      <c r="A261" s="1128"/>
      <c r="B261" s="1129"/>
      <c r="C261" s="1829"/>
      <c r="D261" s="1829"/>
      <c r="E261" s="1829"/>
      <c r="F261" s="1829"/>
      <c r="G261" s="1829"/>
      <c r="H261" s="1829"/>
      <c r="I261" s="1829"/>
      <c r="J261" s="1829"/>
      <c r="K261" s="1829"/>
      <c r="L261" s="1829"/>
    </row>
    <row r="262" spans="1:12" ht="15.75" customHeight="1">
      <c r="A262" s="1128"/>
      <c r="B262" s="1129" t="s">
        <v>14</v>
      </c>
      <c r="C262" s="1829" t="s">
        <v>1660</v>
      </c>
      <c r="D262" s="1829"/>
      <c r="E262" s="1829"/>
      <c r="F262" s="1829"/>
      <c r="G262" s="1829"/>
      <c r="H262" s="1829"/>
      <c r="I262" s="1829"/>
      <c r="J262" s="1829"/>
      <c r="K262" s="1829"/>
      <c r="L262" s="1829"/>
    </row>
    <row r="263" spans="1:12" ht="15.75" customHeight="1">
      <c r="C263" s="1829"/>
      <c r="D263" s="1829"/>
      <c r="E263" s="1829"/>
      <c r="F263" s="1829"/>
      <c r="G263" s="1829"/>
      <c r="H263" s="1829"/>
      <c r="I263" s="1829"/>
      <c r="J263" s="1829"/>
      <c r="K263" s="1829"/>
      <c r="L263" s="1829"/>
    </row>
    <row r="264" spans="1:12" ht="15.75" customHeight="1">
      <c r="A264" s="1128"/>
      <c r="B264" s="1129" t="s">
        <v>166</v>
      </c>
      <c r="C264" s="1829" t="s">
        <v>1661</v>
      </c>
      <c r="D264" s="1829"/>
      <c r="E264" s="1829"/>
      <c r="F264" s="1829"/>
      <c r="G264" s="1829"/>
      <c r="H264" s="1829"/>
      <c r="I264" s="1829"/>
      <c r="J264" s="1829"/>
      <c r="K264" s="1829"/>
      <c r="L264" s="1829"/>
    </row>
    <row r="265" spans="1:12" ht="15.75" customHeight="1">
      <c r="C265" s="1829"/>
      <c r="D265" s="1829"/>
      <c r="E265" s="1829"/>
      <c r="F265" s="1829"/>
      <c r="G265" s="1829"/>
      <c r="H265" s="1829"/>
      <c r="I265" s="1829"/>
      <c r="J265" s="1829"/>
      <c r="K265" s="1829"/>
      <c r="L265" s="1829"/>
    </row>
    <row r="266" spans="1:12" ht="15.75" customHeight="1">
      <c r="A266" s="1128"/>
      <c r="B266" s="1129" t="s">
        <v>169</v>
      </c>
      <c r="C266" s="1830" t="s">
        <v>1662</v>
      </c>
      <c r="D266" s="1830"/>
      <c r="E266" s="1830"/>
      <c r="F266" s="1830"/>
      <c r="G266" s="1830"/>
      <c r="H266" s="1830"/>
      <c r="I266" s="1830"/>
      <c r="J266" s="1830"/>
      <c r="K266" s="1830"/>
      <c r="L266" s="1830"/>
    </row>
    <row r="267" spans="1:12">
      <c r="C267" s="1830"/>
      <c r="D267" s="1830"/>
      <c r="E267" s="1830"/>
      <c r="F267" s="1830"/>
      <c r="G267" s="1830"/>
      <c r="H267" s="1830"/>
      <c r="I267" s="1830"/>
      <c r="J267" s="1830"/>
      <c r="K267" s="1830"/>
      <c r="L267" s="1830"/>
    </row>
  </sheetData>
  <mergeCells count="45">
    <mergeCell ref="A1:R1"/>
    <mergeCell ref="A2:R2"/>
    <mergeCell ref="A3:R3"/>
    <mergeCell ref="B7:R7"/>
    <mergeCell ref="J9:L9"/>
    <mergeCell ref="N9:R9"/>
    <mergeCell ref="D109:H109"/>
    <mergeCell ref="J109:N109"/>
    <mergeCell ref="D10:H10"/>
    <mergeCell ref="J10:L10"/>
    <mergeCell ref="N10:R10"/>
    <mergeCell ref="D43:H43"/>
    <mergeCell ref="J43:L43"/>
    <mergeCell ref="N43:R43"/>
    <mergeCell ref="J75:L75"/>
    <mergeCell ref="N75:R75"/>
    <mergeCell ref="D76:H76"/>
    <mergeCell ref="J76:L76"/>
    <mergeCell ref="N76:R76"/>
    <mergeCell ref="B110:B111"/>
    <mergeCell ref="B120:R120"/>
    <mergeCell ref="J122:L122"/>
    <mergeCell ref="N122:R122"/>
    <mergeCell ref="D123:H123"/>
    <mergeCell ref="J123:L123"/>
    <mergeCell ref="N123:R123"/>
    <mergeCell ref="D189:H189"/>
    <mergeCell ref="J189:L189"/>
    <mergeCell ref="N189:R189"/>
    <mergeCell ref="D222:H222"/>
    <mergeCell ref="J222:N222"/>
    <mergeCell ref="D156:H156"/>
    <mergeCell ref="J156:L156"/>
    <mergeCell ref="N156:R156"/>
    <mergeCell ref="J188:L188"/>
    <mergeCell ref="N188:R188"/>
    <mergeCell ref="C262:L263"/>
    <mergeCell ref="C264:L265"/>
    <mergeCell ref="C266:L267"/>
    <mergeCell ref="B223:B224"/>
    <mergeCell ref="B234:L235"/>
    <mergeCell ref="B239:L240"/>
    <mergeCell ref="C249:L257"/>
    <mergeCell ref="C258:L261"/>
    <mergeCell ref="C244:L248"/>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8783-C9CB-4260-8257-5E4F12428114}">
  <dimension ref="A1:U496"/>
  <sheetViews>
    <sheetView view="pageBreakPreview" topLeftCell="A355" zoomScale="60" zoomScaleNormal="90" workbookViewId="0">
      <selection activeCell="A7" sqref="A1:XFD1048576"/>
    </sheetView>
  </sheetViews>
  <sheetFormatPr defaultColWidth="9.1796875" defaultRowHeight="12.5"/>
  <cols>
    <col min="1" max="1" width="9.1796875" style="945"/>
    <col min="2" max="2" width="5.7265625" style="945" customWidth="1"/>
    <col min="3" max="3" width="9.453125" style="945" customWidth="1"/>
    <col min="4" max="4" width="2.7265625" style="945" customWidth="1"/>
    <col min="5" max="5" width="46.81640625" style="945" bestFit="1" customWidth="1"/>
    <col min="6" max="6" width="2.7265625" style="945" customWidth="1"/>
    <col min="7" max="7" width="19.1796875" style="945" bestFit="1" customWidth="1"/>
    <col min="8" max="8" width="2.7265625" style="945" customWidth="1"/>
    <col min="9" max="9" width="19.1796875" style="945" bestFit="1" customWidth="1"/>
    <col min="10" max="10" width="2.7265625" style="945" customWidth="1"/>
    <col min="11" max="11" width="18.54296875" style="945" bestFit="1" customWidth="1"/>
    <col min="12" max="12" width="5.7265625" style="945" customWidth="1"/>
    <col min="13" max="13" width="19.1796875" style="945" bestFit="1" customWidth="1"/>
    <col min="14" max="14" width="2.7265625" style="945" customWidth="1"/>
    <col min="15" max="15" width="17.453125" style="945" customWidth="1"/>
    <col min="16" max="16" width="2.7265625" style="945" customWidth="1"/>
    <col min="17" max="17" width="17.453125" style="945" bestFit="1" customWidth="1"/>
    <col min="18" max="18" width="5.7265625" style="945" customWidth="1"/>
    <col min="19" max="19" width="9.1796875" style="945"/>
    <col min="20" max="20" width="15.26953125" style="945" customWidth="1"/>
    <col min="21" max="21" width="15.1796875" style="945" customWidth="1"/>
    <col min="22" max="16384" width="9.1796875" style="945"/>
  </cols>
  <sheetData>
    <row r="1" spans="1:20" ht="15.5">
      <c r="A1" s="1839" t="s">
        <v>343</v>
      </c>
      <c r="B1" s="1839"/>
      <c r="C1" s="1839"/>
      <c r="D1" s="1839"/>
      <c r="E1" s="1839"/>
      <c r="F1" s="1839"/>
      <c r="G1" s="1839"/>
      <c r="H1" s="1839"/>
      <c r="I1" s="1839"/>
      <c r="J1" s="1839"/>
      <c r="K1" s="1839"/>
      <c r="L1" s="1839"/>
      <c r="M1" s="1839"/>
      <c r="N1" s="1839"/>
      <c r="O1" s="1839"/>
      <c r="P1" s="1839"/>
      <c r="Q1" s="1839"/>
      <c r="R1" s="1839"/>
      <c r="S1" s="1839"/>
    </row>
    <row r="2" spans="1:20" ht="15.5">
      <c r="A2" s="1839" t="s">
        <v>1663</v>
      </c>
      <c r="B2" s="1839"/>
      <c r="C2" s="1839"/>
      <c r="D2" s="1839"/>
      <c r="E2" s="1839"/>
      <c r="F2" s="1839"/>
      <c r="G2" s="1839"/>
      <c r="H2" s="1839"/>
      <c r="I2" s="1839"/>
      <c r="J2" s="1839"/>
      <c r="K2" s="1839"/>
      <c r="L2" s="1839"/>
      <c r="M2" s="1839"/>
      <c r="N2" s="1839"/>
      <c r="O2" s="1839"/>
      <c r="P2" s="1839"/>
      <c r="Q2" s="1839"/>
      <c r="R2" s="1839"/>
      <c r="S2" s="1839"/>
    </row>
    <row r="3" spans="1:20" ht="15.5">
      <c r="A3" s="1839" t="s">
        <v>1664</v>
      </c>
      <c r="B3" s="1839"/>
      <c r="C3" s="1839"/>
      <c r="D3" s="1839"/>
      <c r="E3" s="1839"/>
      <c r="F3" s="1839"/>
      <c r="G3" s="1839"/>
      <c r="H3" s="1839"/>
      <c r="I3" s="1839"/>
      <c r="J3" s="1839"/>
      <c r="K3" s="1839"/>
      <c r="L3" s="1839"/>
      <c r="M3" s="1839"/>
      <c r="N3" s="1839"/>
      <c r="O3" s="1839"/>
      <c r="P3" s="1839"/>
      <c r="Q3" s="1839"/>
      <c r="R3" s="1839"/>
      <c r="S3" s="1839"/>
    </row>
    <row r="4" spans="1:20" ht="14">
      <c r="A4" s="1268"/>
      <c r="G4" s="1268"/>
      <c r="O4" s="1268"/>
    </row>
    <row r="5" spans="1:20" ht="14">
      <c r="A5" s="1268"/>
      <c r="G5" s="1268"/>
      <c r="O5" s="1268"/>
    </row>
    <row r="6" spans="1:20" ht="15.75" customHeight="1">
      <c r="C6" s="1849" t="s">
        <v>1628</v>
      </c>
      <c r="D6" s="1849"/>
      <c r="E6" s="1849"/>
      <c r="F6" s="1849"/>
      <c r="G6" s="1849"/>
      <c r="H6" s="1849"/>
      <c r="I6" s="1849"/>
      <c r="J6" s="1849"/>
      <c r="K6" s="1849"/>
      <c r="L6" s="1849"/>
      <c r="M6" s="1849"/>
      <c r="N6" s="1849"/>
      <c r="O6" s="1849"/>
      <c r="P6" s="1849"/>
      <c r="Q6" s="1849"/>
    </row>
    <row r="8" spans="1:20" ht="15.75" customHeight="1">
      <c r="C8" s="1857" t="s">
        <v>1665</v>
      </c>
      <c r="D8" s="1858"/>
      <c r="E8" s="1858"/>
      <c r="F8" s="1858"/>
      <c r="G8" s="1858"/>
      <c r="H8" s="1858"/>
      <c r="I8" s="1858"/>
      <c r="J8" s="1858"/>
      <c r="K8" s="1858"/>
      <c r="L8" s="1858"/>
      <c r="M8" s="1858"/>
      <c r="N8" s="1858"/>
      <c r="O8" s="1858"/>
      <c r="P8" s="1858"/>
      <c r="Q8" s="1859"/>
    </row>
    <row r="10" spans="1:20" ht="13">
      <c r="E10" s="1129" t="s">
        <v>216</v>
      </c>
      <c r="F10" s="1129"/>
      <c r="G10" s="1129" t="s">
        <v>217</v>
      </c>
      <c r="H10" s="1129"/>
      <c r="I10" s="1129" t="s">
        <v>1318</v>
      </c>
      <c r="J10" s="1129"/>
      <c r="K10" s="1129" t="s">
        <v>1566</v>
      </c>
      <c r="L10" s="1129"/>
      <c r="M10" s="1129" t="s">
        <v>1666</v>
      </c>
      <c r="N10" s="1129"/>
      <c r="O10" s="1129" t="s">
        <v>1568</v>
      </c>
      <c r="P10" s="1129"/>
      <c r="Q10" s="1129" t="s">
        <v>1569</v>
      </c>
    </row>
    <row r="11" spans="1:20" ht="15" customHeight="1">
      <c r="C11" s="1846" t="s">
        <v>1576</v>
      </c>
      <c r="D11" s="1360"/>
      <c r="E11" s="1860" t="s">
        <v>1647</v>
      </c>
      <c r="G11" s="1862" t="s">
        <v>380</v>
      </c>
      <c r="I11" s="1862" t="s">
        <v>1667</v>
      </c>
      <c r="K11" s="1269" t="s">
        <v>1668</v>
      </c>
      <c r="M11" s="1727" t="s">
        <v>2148</v>
      </c>
      <c r="O11" s="1864" t="s">
        <v>1669</v>
      </c>
      <c r="Q11" s="1270" t="s">
        <v>1972</v>
      </c>
    </row>
    <row r="12" spans="1:20" ht="25">
      <c r="C12" s="1847"/>
      <c r="D12" s="1360"/>
      <c r="E12" s="1861"/>
      <c r="F12" s="1271"/>
      <c r="G12" s="1863"/>
      <c r="H12" s="1271"/>
      <c r="I12" s="1863"/>
      <c r="J12" s="1271"/>
      <c r="K12" s="1272" t="s">
        <v>1670</v>
      </c>
      <c r="M12" s="1362" t="s">
        <v>1671</v>
      </c>
      <c r="O12" s="1865"/>
      <c r="Q12" s="1362" t="s">
        <v>1672</v>
      </c>
    </row>
    <row r="13" spans="1:20" ht="5.15" customHeight="1"/>
    <row r="14" spans="1:20" ht="13">
      <c r="A14" s="1273"/>
      <c r="B14" s="1273"/>
      <c r="C14" s="1131">
        <v>1</v>
      </c>
      <c r="D14" s="1273"/>
      <c r="E14" s="1274" t="s">
        <v>1673</v>
      </c>
      <c r="F14" s="1273"/>
      <c r="G14" s="1275"/>
      <c r="H14" s="1273"/>
      <c r="I14" s="1275"/>
      <c r="J14" s="1273"/>
      <c r="K14" s="1276"/>
      <c r="M14" s="1265"/>
      <c r="O14" s="1277"/>
      <c r="Q14" s="1273"/>
    </row>
    <row r="15" spans="1:20" ht="5.15" customHeight="1"/>
    <row r="16" spans="1:20">
      <c r="C16" s="1131">
        <f>C14+1</f>
        <v>2</v>
      </c>
      <c r="E16" s="1260" t="s">
        <v>1650</v>
      </c>
      <c r="G16" s="1278" t="s">
        <v>965</v>
      </c>
      <c r="I16" s="1275" t="s">
        <v>1674</v>
      </c>
      <c r="K16" s="1263">
        <f>SUMIFS('1F - ADIT Remeasurement'!$AF$11:$AF$120,'1F - ADIT Remeasurement'!$E$11:$E$120,"Non-Property",'1F - ADIT Remeasurement'!$AH$11:$AH$120,"190")</f>
        <v>1291072.331317605</v>
      </c>
      <c r="L16" s="1262"/>
      <c r="M16" s="1263">
        <v>0</v>
      </c>
      <c r="N16" s="1262"/>
      <c r="O16" s="1263">
        <v>0</v>
      </c>
      <c r="P16" s="1262"/>
      <c r="Q16" s="1263">
        <f>M16+O16</f>
        <v>0</v>
      </c>
      <c r="T16" s="1162"/>
    </row>
    <row r="17" spans="1:20">
      <c r="C17" s="1131">
        <f>C16+1</f>
        <v>3</v>
      </c>
      <c r="E17" s="1260" t="s">
        <v>1675</v>
      </c>
      <c r="G17" s="1278" t="s">
        <v>965</v>
      </c>
      <c r="I17" s="1275" t="s">
        <v>1674</v>
      </c>
      <c r="K17" s="1279">
        <f>SUMIFS('1F - ADIT Remeasurement'!$AF$11:$AF$120,'1F - ADIT Remeasurement'!$E$11:$E$120,"Non-Property",'1F - ADIT Remeasurement'!$AH$11:$AH$120,"281")</f>
        <v>0</v>
      </c>
      <c r="M17" s="1279">
        <v>0</v>
      </c>
      <c r="O17" s="1279">
        <f>-K17/4</f>
        <v>0</v>
      </c>
      <c r="Q17" s="1264">
        <f>M17+O17</f>
        <v>0</v>
      </c>
    </row>
    <row r="18" spans="1:20">
      <c r="C18" s="1131">
        <f>C17+1</f>
        <v>4</v>
      </c>
      <c r="E18" s="1260" t="s">
        <v>1651</v>
      </c>
      <c r="G18" s="1278" t="s">
        <v>965</v>
      </c>
      <c r="I18" s="1275" t="s">
        <v>1674</v>
      </c>
      <c r="K18" s="1279">
        <f>SUMIFS('1F - ADIT Remeasurement'!$AF$11:$AF$120,'1F - ADIT Remeasurement'!$E$11:$E$120,"Non-Property",'1F - ADIT Remeasurement'!$AH$11:$AH$120,"282")</f>
        <v>0</v>
      </c>
      <c r="M18" s="1279">
        <v>0</v>
      </c>
      <c r="O18" s="1279">
        <f>-K18/4</f>
        <v>0</v>
      </c>
      <c r="Q18" s="1264">
        <f>M18+O18</f>
        <v>0</v>
      </c>
    </row>
    <row r="19" spans="1:20">
      <c r="C19" s="1131">
        <f>C18+1</f>
        <v>5</v>
      </c>
      <c r="E19" s="1260" t="s">
        <v>1652</v>
      </c>
      <c r="G19" s="1278" t="s">
        <v>965</v>
      </c>
      <c r="I19" s="1275" t="s">
        <v>1674</v>
      </c>
      <c r="K19" s="1279">
        <f>SUMIFS('1F - ADIT Remeasurement'!$AF$11:$AF$120,'1F - ADIT Remeasurement'!$E$11:$E$120,"Non-Property",'1F - ADIT Remeasurement'!$AH$11:$AH$120,"283")</f>
        <v>-5706709.5142091112</v>
      </c>
      <c r="M19" s="1279">
        <v>0</v>
      </c>
      <c r="O19" s="1279">
        <v>0</v>
      </c>
      <c r="Q19" s="1264">
        <f>M19+O19</f>
        <v>0</v>
      </c>
      <c r="T19" s="1162"/>
    </row>
    <row r="20" spans="1:20" ht="5.15" customHeight="1">
      <c r="K20" s="1280"/>
      <c r="M20" s="1280"/>
      <c r="O20" s="1280"/>
      <c r="Q20" s="1280"/>
    </row>
    <row r="21" spans="1:20" ht="13">
      <c r="C21" s="1131">
        <f>C19+1</f>
        <v>6</v>
      </c>
      <c r="E21" s="1128" t="s">
        <v>1676</v>
      </c>
      <c r="K21" s="1265">
        <f>SUM(K15:K20)</f>
        <v>-4415637.1828915067</v>
      </c>
      <c r="L21" s="1265"/>
      <c r="M21" s="1265">
        <f>SUM(M15:M20)</f>
        <v>0</v>
      </c>
      <c r="N21" s="1262"/>
      <c r="O21" s="1265">
        <f>SUM(O15:O20)</f>
        <v>0</v>
      </c>
      <c r="P21" s="1265"/>
      <c r="Q21" s="1265">
        <f>SUM(Q15:Q20)</f>
        <v>0</v>
      </c>
    </row>
    <row r="22" spans="1:20">
      <c r="C22" s="1131"/>
    </row>
    <row r="23" spans="1:20" ht="13">
      <c r="A23" s="1273"/>
      <c r="B23" s="1273"/>
      <c r="C23" s="1131">
        <f>C21+1</f>
        <v>7</v>
      </c>
      <c r="D23" s="1273"/>
      <c r="E23" s="1274" t="s">
        <v>1677</v>
      </c>
      <c r="F23" s="1273"/>
      <c r="G23" s="1275"/>
      <c r="H23" s="1273"/>
      <c r="I23" s="1275"/>
      <c r="J23" s="1273"/>
      <c r="K23" s="1276"/>
      <c r="M23" s="1265"/>
      <c r="O23" s="1277"/>
      <c r="Q23" s="1273"/>
    </row>
    <row r="24" spans="1:20" ht="5.15" customHeight="1"/>
    <row r="25" spans="1:20">
      <c r="C25" s="1131">
        <f>C23+1</f>
        <v>8</v>
      </c>
      <c r="E25" s="1260" t="s">
        <v>1650</v>
      </c>
      <c r="G25" s="1278" t="s">
        <v>965</v>
      </c>
      <c r="I25" s="1275" t="s">
        <v>1678</v>
      </c>
      <c r="K25" s="1263">
        <f>SUMIFS('1F - ADIT Remeasurement'!$AF$11:$AF$120,'1F - ADIT Remeasurement'!$E$11:$E$120,"Unprotected Property",'1F - ADIT Remeasurement'!$AH$11:$AH$120,"190")</f>
        <v>0</v>
      </c>
      <c r="L25" s="1262"/>
      <c r="M25" s="1263">
        <v>0</v>
      </c>
      <c r="N25" s="1265"/>
      <c r="O25" s="1263">
        <f>-K25/5</f>
        <v>0</v>
      </c>
      <c r="P25" s="1265"/>
      <c r="Q25" s="1263">
        <f>M25+O25</f>
        <v>0</v>
      </c>
    </row>
    <row r="26" spans="1:20">
      <c r="C26" s="1131">
        <f>C25+1</f>
        <v>9</v>
      </c>
      <c r="E26" s="1260" t="s">
        <v>1675</v>
      </c>
      <c r="G26" s="1278" t="s">
        <v>965</v>
      </c>
      <c r="I26" s="1275" t="s">
        <v>1678</v>
      </c>
      <c r="K26" s="1279">
        <f>SUMIFS('1F - ADIT Remeasurement'!$AF$11:$AF$120,'1F - ADIT Remeasurement'!$E$11:$E$120,"Unprotected Property",'1F - ADIT Remeasurement'!$AH$11:$AH$120,"281")</f>
        <v>0</v>
      </c>
      <c r="M26" s="1279">
        <v>0</v>
      </c>
      <c r="O26" s="1279">
        <f>-K26/5</f>
        <v>0</v>
      </c>
      <c r="Q26" s="1264">
        <f>M26+O26</f>
        <v>0</v>
      </c>
    </row>
    <row r="27" spans="1:20">
      <c r="C27" s="1131">
        <f>C26+1</f>
        <v>10</v>
      </c>
      <c r="E27" s="1260" t="s">
        <v>1651</v>
      </c>
      <c r="G27" s="1278" t="s">
        <v>965</v>
      </c>
      <c r="I27" s="1275" t="s">
        <v>1678</v>
      </c>
      <c r="K27" s="1279">
        <f>SUMIFS('1F - ADIT Remeasurement'!$AF$11:$AF$120,'1F - ADIT Remeasurement'!$E$11:$E$120,"Unprotected Property",'1F - ADIT Remeasurement'!$AH$11:$AH$120,"282")</f>
        <v>-46126850.647198208</v>
      </c>
      <c r="M27" s="1279">
        <v>-9225370.1294396408</v>
      </c>
      <c r="O27" s="1279">
        <f>-M27</f>
        <v>9225370.1294396408</v>
      </c>
      <c r="Q27" s="1264">
        <f>M27+O27</f>
        <v>0</v>
      </c>
      <c r="T27" s="1162"/>
    </row>
    <row r="28" spans="1:20">
      <c r="C28" s="1131">
        <f>C27+1</f>
        <v>11</v>
      </c>
      <c r="E28" s="1260" t="s">
        <v>1652</v>
      </c>
      <c r="G28" s="1278" t="s">
        <v>965</v>
      </c>
      <c r="I28" s="1275" t="s">
        <v>1678</v>
      </c>
      <c r="K28" s="1279">
        <f>SUMIFS('1F - ADIT Remeasurement'!$AF$11:$AF$120,'1F - ADIT Remeasurement'!$E$11:$E$120,"Unprotected Property",'1F - ADIT Remeasurement'!$AH$11:$AH$120,"283")</f>
        <v>0</v>
      </c>
      <c r="M28" s="1279">
        <v>0</v>
      </c>
      <c r="O28" s="1279">
        <f>-K28/5</f>
        <v>0</v>
      </c>
      <c r="Q28" s="1264">
        <f>M28+O28</f>
        <v>0</v>
      </c>
    </row>
    <row r="29" spans="1:20" ht="5.15" customHeight="1">
      <c r="K29" s="1280"/>
      <c r="M29" s="1280"/>
      <c r="O29" s="1280"/>
      <c r="Q29" s="1280"/>
    </row>
    <row r="30" spans="1:20" ht="13">
      <c r="C30" s="1131">
        <f>C28+1</f>
        <v>12</v>
      </c>
      <c r="E30" s="1128" t="s">
        <v>1676</v>
      </c>
      <c r="K30" s="1265">
        <f>SUM(K24:K29)</f>
        <v>-46126850.647198208</v>
      </c>
      <c r="L30" s="1262"/>
      <c r="M30" s="1265">
        <f>SUM(M24:M29)</f>
        <v>-9225370.1294396408</v>
      </c>
      <c r="N30" s="1265"/>
      <c r="O30" s="1265">
        <f>SUM(O24:O29)</f>
        <v>9225370.1294396408</v>
      </c>
      <c r="P30" s="1265"/>
      <c r="Q30" s="1265">
        <f>SUM(Q24:Q29)</f>
        <v>0</v>
      </c>
    </row>
    <row r="32" spans="1:20" ht="13">
      <c r="A32" s="1273"/>
      <c r="B32" s="1273"/>
      <c r="C32" s="1131">
        <f>C30+1</f>
        <v>13</v>
      </c>
      <c r="D32" s="1273"/>
      <c r="E32" s="1274" t="s">
        <v>1679</v>
      </c>
      <c r="F32" s="1273"/>
      <c r="G32" s="1275"/>
      <c r="H32" s="1273"/>
      <c r="I32" s="1275"/>
      <c r="J32" s="1273"/>
      <c r="K32" s="1276"/>
      <c r="M32" s="1265"/>
      <c r="O32" s="1277"/>
      <c r="Q32" s="1273"/>
    </row>
    <row r="33" spans="3:20" ht="5.15" customHeight="1"/>
    <row r="34" spans="3:20">
      <c r="C34" s="1131">
        <f>C32+1</f>
        <v>14</v>
      </c>
      <c r="E34" s="1260" t="s">
        <v>1650</v>
      </c>
      <c r="G34" s="1278" t="s">
        <v>965</v>
      </c>
      <c r="I34" s="1275" t="s">
        <v>1680</v>
      </c>
      <c r="K34" s="1263">
        <f>SUMIFS('1F - ADIT Remeasurement'!$AF$11:$AF$120,'1F - ADIT Remeasurement'!$E$11:$E$120,"Protected Property",'1F - ADIT Remeasurement'!$AH$11:$AH$120,"190")</f>
        <v>1000863.0827697578</v>
      </c>
      <c r="M34" s="1263">
        <v>1000863.0827697578</v>
      </c>
      <c r="N34" s="1265"/>
      <c r="O34" s="1263">
        <v>0</v>
      </c>
      <c r="P34" s="1265"/>
      <c r="Q34" s="1263">
        <f>M34+O34</f>
        <v>1000863.0827697578</v>
      </c>
    </row>
    <row r="35" spans="3:20">
      <c r="C35" s="1131">
        <f>C34+1</f>
        <v>15</v>
      </c>
      <c r="E35" s="1260" t="s">
        <v>1675</v>
      </c>
      <c r="G35" s="1278" t="s">
        <v>965</v>
      </c>
      <c r="I35" s="1275" t="s">
        <v>1680</v>
      </c>
      <c r="K35" s="1279">
        <f>SUMIFS('1F - ADIT Remeasurement'!$AF$11:$AF$120,'1F - ADIT Remeasurement'!$E$11:$E$120,"Protected Property",'1F - ADIT Remeasurement'!$AH$11:$AH$120,"281")</f>
        <v>0</v>
      </c>
      <c r="M35" s="1279">
        <v>0</v>
      </c>
      <c r="O35" s="1279">
        <v>0</v>
      </c>
      <c r="Q35" s="1264">
        <f>M35+O35</f>
        <v>0</v>
      </c>
    </row>
    <row r="36" spans="3:20">
      <c r="C36" s="1131">
        <f>C35+1</f>
        <v>16</v>
      </c>
      <c r="E36" s="1260" t="s">
        <v>1651</v>
      </c>
      <c r="G36" s="1278" t="s">
        <v>965</v>
      </c>
      <c r="I36" s="1275" t="s">
        <v>1680</v>
      </c>
      <c r="K36" s="1279">
        <f>SUMIFS('1F - ADIT Remeasurement'!$AF$11:$AF$120,'1F - ADIT Remeasurement'!$E$11:$E$120,"Protected Property",'1F - ADIT Remeasurement'!$AH$11:$AH$120,"282")</f>
        <v>-56057633.155828647</v>
      </c>
      <c r="M36" s="1279">
        <v>-50641107.155828647</v>
      </c>
      <c r="O36" s="1279">
        <f>1311603-O54</f>
        <v>1097291</v>
      </c>
      <c r="Q36" s="1264">
        <f>M36+O36</f>
        <v>-49543816.155828647</v>
      </c>
    </row>
    <row r="37" spans="3:20">
      <c r="C37" s="1131">
        <f>C36+1</f>
        <v>17</v>
      </c>
      <c r="E37" s="1260" t="s">
        <v>1652</v>
      </c>
      <c r="G37" s="1278" t="s">
        <v>965</v>
      </c>
      <c r="I37" s="1275" t="s">
        <v>1680</v>
      </c>
      <c r="K37" s="1279">
        <f>SUMIFS('1F - ADIT Remeasurement'!$AF$11:$AF$120,'1F - ADIT Remeasurement'!$E$11:$E$120,"Protected Property",'1F - ADIT Remeasurement'!$AH$11:$AH$120,"283")</f>
        <v>0</v>
      </c>
      <c r="M37" s="1279">
        <v>0</v>
      </c>
      <c r="O37" s="1279">
        <v>0</v>
      </c>
      <c r="Q37" s="1264">
        <f>M37+O37</f>
        <v>0</v>
      </c>
    </row>
    <row r="38" spans="3:20" ht="5.15" customHeight="1">
      <c r="K38" s="1280"/>
      <c r="M38" s="1280"/>
      <c r="O38" s="1280"/>
      <c r="Q38" s="1280"/>
    </row>
    <row r="39" spans="3:20" ht="13">
      <c r="C39" s="1131">
        <f>C37+1</f>
        <v>18</v>
      </c>
      <c r="E39" s="1128" t="s">
        <v>1676</v>
      </c>
      <c r="K39" s="1265">
        <f>SUM(K33:K38)</f>
        <v>-55056770.073058888</v>
      </c>
      <c r="L39" s="1262"/>
      <c r="M39" s="1265">
        <f>SUM(M33:M38)</f>
        <v>-49640244.073058888</v>
      </c>
      <c r="N39" s="1262"/>
      <c r="O39" s="1265">
        <f>SUM(O33:O38)</f>
        <v>1097291</v>
      </c>
      <c r="P39" s="1265"/>
      <c r="Q39" s="1265">
        <f>SUM(Q33:Q38)</f>
        <v>-48542953.073058888</v>
      </c>
      <c r="T39" s="1162"/>
    </row>
    <row r="41" spans="3:20" ht="13.5" thickBot="1">
      <c r="C41" s="1131">
        <f>C39+1</f>
        <v>19</v>
      </c>
      <c r="E41" s="1128" t="s">
        <v>1681</v>
      </c>
      <c r="K41" s="1281">
        <f>K21+K30+K39</f>
        <v>-105599257.90314861</v>
      </c>
      <c r="L41" s="1265"/>
      <c r="M41" s="1281">
        <f>M21+M30+M39</f>
        <v>-58865614.202498525</v>
      </c>
      <c r="N41" s="1265"/>
      <c r="O41" s="1281">
        <f>O21+O30+O39</f>
        <v>10322661.129439641</v>
      </c>
      <c r="P41" s="1265"/>
      <c r="Q41" s="1281">
        <f>Q21+Q30+Q39</f>
        <v>-48542953.073058888</v>
      </c>
      <c r="T41" s="1282"/>
    </row>
    <row r="44" spans="3:20" ht="15.75" customHeight="1">
      <c r="C44" s="1857" t="s">
        <v>1682</v>
      </c>
      <c r="D44" s="1858"/>
      <c r="E44" s="1858"/>
      <c r="F44" s="1858"/>
      <c r="G44" s="1858"/>
      <c r="H44" s="1858"/>
      <c r="I44" s="1858"/>
      <c r="J44" s="1858"/>
      <c r="K44" s="1858"/>
      <c r="L44" s="1858"/>
      <c r="M44" s="1858"/>
      <c r="N44" s="1858"/>
      <c r="O44" s="1858"/>
      <c r="P44" s="1858"/>
      <c r="Q44" s="1859"/>
    </row>
    <row r="46" spans="3:20" ht="13">
      <c r="E46" s="1129" t="s">
        <v>216</v>
      </c>
      <c r="F46" s="1129"/>
      <c r="G46" s="1129" t="s">
        <v>217</v>
      </c>
      <c r="H46" s="1129"/>
      <c r="I46" s="1129" t="s">
        <v>1318</v>
      </c>
      <c r="J46" s="1129"/>
      <c r="K46" s="1129" t="s">
        <v>1566</v>
      </c>
      <c r="L46" s="1129"/>
      <c r="M46" s="1129" t="s">
        <v>1666</v>
      </c>
      <c r="N46" s="1129"/>
      <c r="O46" s="1129" t="s">
        <v>1568</v>
      </c>
      <c r="P46" s="1129"/>
      <c r="Q46" s="1129" t="s">
        <v>1569</v>
      </c>
    </row>
    <row r="47" spans="3:20" ht="15" customHeight="1">
      <c r="C47" s="1846" t="s">
        <v>1576</v>
      </c>
      <c r="D47" s="1360"/>
      <c r="E47" s="1860" t="s">
        <v>1647</v>
      </c>
      <c r="G47" s="1862" t="s">
        <v>380</v>
      </c>
      <c r="I47" s="1862" t="s">
        <v>1667</v>
      </c>
      <c r="K47" s="1283" t="s">
        <v>1683</v>
      </c>
      <c r="M47" s="1727" t="str">
        <f>M11</f>
        <v>December 31, 2021</v>
      </c>
      <c r="O47" s="1864" t="s">
        <v>1669</v>
      </c>
      <c r="Q47" s="1270" t="str">
        <f>Q11</f>
        <v>December 31, 2022</v>
      </c>
    </row>
    <row r="48" spans="3:20" ht="25">
      <c r="C48" s="1847"/>
      <c r="D48" s="1360"/>
      <c r="E48" s="1861"/>
      <c r="F48" s="1271"/>
      <c r="G48" s="1863"/>
      <c r="H48" s="1271"/>
      <c r="I48" s="1863"/>
      <c r="J48" s="1271"/>
      <c r="K48" s="1272" t="s">
        <v>1670</v>
      </c>
      <c r="M48" s="1362" t="s">
        <v>1671</v>
      </c>
      <c r="O48" s="1865"/>
      <c r="Q48" s="1362" t="s">
        <v>1672</v>
      </c>
    </row>
    <row r="49" spans="1:20" ht="5.15" customHeight="1"/>
    <row r="50" spans="1:20" ht="13">
      <c r="A50" s="1273"/>
      <c r="B50" s="1273"/>
      <c r="C50" s="1131">
        <f>C41+1</f>
        <v>20</v>
      </c>
      <c r="D50" s="1273"/>
      <c r="E50" s="1274" t="s">
        <v>1679</v>
      </c>
      <c r="F50" s="1273"/>
      <c r="G50" s="1275"/>
      <c r="H50" s="1273"/>
      <c r="I50" s="1275"/>
      <c r="J50" s="1273"/>
      <c r="K50" s="1276"/>
      <c r="M50" s="1265"/>
      <c r="O50" s="1277"/>
      <c r="Q50" s="1273"/>
    </row>
    <row r="51" spans="1:20" ht="5.15" customHeight="1"/>
    <row r="52" spans="1:20">
      <c r="C52" s="1131">
        <f>C50+1</f>
        <v>21</v>
      </c>
      <c r="E52" s="1260" t="s">
        <v>1650</v>
      </c>
      <c r="G52" s="1278" t="s">
        <v>422</v>
      </c>
      <c r="I52" s="1275" t="s">
        <v>1680</v>
      </c>
      <c r="K52" s="1263">
        <v>0</v>
      </c>
      <c r="L52" s="1262"/>
      <c r="M52" s="1263">
        <v>0</v>
      </c>
      <c r="N52" s="1262"/>
      <c r="O52" s="1263">
        <v>0</v>
      </c>
      <c r="P52" s="1262"/>
      <c r="Q52" s="1263">
        <f>M52+O52</f>
        <v>0</v>
      </c>
    </row>
    <row r="53" spans="1:20">
      <c r="C53" s="1131">
        <f>C52+1</f>
        <v>22</v>
      </c>
      <c r="E53" s="1260" t="s">
        <v>1675</v>
      </c>
      <c r="G53" s="1278" t="s">
        <v>422</v>
      </c>
      <c r="I53" s="1275" t="s">
        <v>1680</v>
      </c>
      <c r="K53" s="1279">
        <v>0</v>
      </c>
      <c r="M53" s="1279">
        <v>0</v>
      </c>
      <c r="O53" s="1279">
        <v>0</v>
      </c>
      <c r="Q53" s="1264">
        <f>M53+O53</f>
        <v>0</v>
      </c>
    </row>
    <row r="54" spans="1:20">
      <c r="C54" s="1131">
        <f>C53+1</f>
        <v>23</v>
      </c>
      <c r="E54" s="1260" t="s">
        <v>1651</v>
      </c>
      <c r="G54" s="1278" t="s">
        <v>422</v>
      </c>
      <c r="I54" s="1275" t="s">
        <v>1680</v>
      </c>
      <c r="K54" s="1279">
        <v>-958862</v>
      </c>
      <c r="M54" s="1279">
        <v>-268883</v>
      </c>
      <c r="O54" s="1279">
        <v>214312</v>
      </c>
      <c r="Q54" s="1264">
        <f>M54+O54</f>
        <v>-54571</v>
      </c>
    </row>
    <row r="55" spans="1:20">
      <c r="C55" s="1131">
        <f>C54+1</f>
        <v>24</v>
      </c>
      <c r="E55" s="1260" t="s">
        <v>1652</v>
      </c>
      <c r="G55" s="1278" t="s">
        <v>422</v>
      </c>
      <c r="I55" s="1275" t="s">
        <v>1680</v>
      </c>
      <c r="K55" s="1279">
        <v>0</v>
      </c>
      <c r="M55" s="1279">
        <v>0</v>
      </c>
      <c r="O55" s="1279">
        <v>0</v>
      </c>
      <c r="Q55" s="1264">
        <f>M55+O55</f>
        <v>0</v>
      </c>
      <c r="R55" s="945" t="s">
        <v>101</v>
      </c>
      <c r="S55" s="945" t="s">
        <v>101</v>
      </c>
      <c r="T55" s="945" t="s">
        <v>101</v>
      </c>
    </row>
    <row r="56" spans="1:20" ht="5.15" customHeight="1">
      <c r="K56" s="1280"/>
      <c r="M56" s="1280"/>
      <c r="O56" s="1280"/>
      <c r="Q56" s="1280"/>
    </row>
    <row r="57" spans="1:20" ht="13">
      <c r="C57" s="1131">
        <f>C55+1</f>
        <v>25</v>
      </c>
      <c r="E57" s="1128" t="s">
        <v>1676</v>
      </c>
      <c r="K57" s="1265">
        <f>SUM(K51:K56)</f>
        <v>-958862</v>
      </c>
      <c r="L57" s="1265"/>
      <c r="M57" s="1265">
        <f>SUM(M51:M56)</f>
        <v>-268883</v>
      </c>
      <c r="N57" s="1265"/>
      <c r="O57" s="1265">
        <f>SUM(O51:O56)</f>
        <v>214312</v>
      </c>
      <c r="P57" s="1265"/>
      <c r="Q57" s="1265">
        <f>SUM(Q51:Q56)</f>
        <v>-54571</v>
      </c>
    </row>
    <row r="59" spans="1:20" ht="13.5" thickBot="1">
      <c r="C59" s="1131">
        <f>C57+1</f>
        <v>26</v>
      </c>
      <c r="E59" s="1128" t="s">
        <v>1681</v>
      </c>
      <c r="K59" s="1281">
        <f>K57</f>
        <v>-958862</v>
      </c>
      <c r="L59" s="1265"/>
      <c r="M59" s="1281">
        <f>M57</f>
        <v>-268883</v>
      </c>
      <c r="N59" s="1265"/>
      <c r="O59" s="1281">
        <f>O57</f>
        <v>214312</v>
      </c>
      <c r="P59" s="1265"/>
      <c r="Q59" s="1281">
        <f>Q57</f>
        <v>-54571</v>
      </c>
    </row>
    <row r="62" spans="1:20" ht="15.75" customHeight="1">
      <c r="C62" s="1857" t="s">
        <v>1684</v>
      </c>
      <c r="D62" s="1858"/>
      <c r="E62" s="1858"/>
      <c r="F62" s="1858"/>
      <c r="G62" s="1858"/>
      <c r="H62" s="1858"/>
      <c r="I62" s="1858"/>
      <c r="J62" s="1858"/>
      <c r="K62" s="1858"/>
      <c r="L62" s="1858"/>
      <c r="M62" s="1858"/>
      <c r="N62" s="1858"/>
      <c r="O62" s="1858"/>
      <c r="P62" s="1858"/>
      <c r="Q62" s="1859"/>
    </row>
    <row r="64" spans="1:20" ht="13">
      <c r="E64" s="1129" t="s">
        <v>216</v>
      </c>
      <c r="F64" s="1129"/>
      <c r="G64" s="1129" t="s">
        <v>217</v>
      </c>
      <c r="H64" s="1129"/>
      <c r="I64" s="1129" t="s">
        <v>1318</v>
      </c>
      <c r="J64" s="1129"/>
      <c r="K64" s="1129" t="s">
        <v>1566</v>
      </c>
      <c r="L64" s="1129"/>
      <c r="M64" s="1129" t="s">
        <v>1666</v>
      </c>
      <c r="N64" s="1129"/>
      <c r="O64" s="1129" t="s">
        <v>1568</v>
      </c>
      <c r="P64" s="1129"/>
      <c r="Q64" s="1129" t="s">
        <v>1569</v>
      </c>
    </row>
    <row r="65" spans="1:20" ht="15" customHeight="1">
      <c r="C65" s="1846" t="s">
        <v>1576</v>
      </c>
      <c r="D65" s="1360"/>
      <c r="E65" s="1860" t="s">
        <v>1647</v>
      </c>
      <c r="G65" s="1862" t="s">
        <v>380</v>
      </c>
      <c r="I65" s="1862" t="s">
        <v>1667</v>
      </c>
      <c r="K65" s="1269"/>
      <c r="M65" s="1727" t="str">
        <f>M11</f>
        <v>December 31, 2021</v>
      </c>
      <c r="O65" s="1864" t="s">
        <v>1669</v>
      </c>
      <c r="Q65" s="1270" t="str">
        <f>Q11</f>
        <v>December 31, 2022</v>
      </c>
    </row>
    <row r="66" spans="1:20" ht="25">
      <c r="C66" s="1847"/>
      <c r="D66" s="1360"/>
      <c r="E66" s="1861"/>
      <c r="F66" s="1271"/>
      <c r="G66" s="1863"/>
      <c r="H66" s="1271"/>
      <c r="I66" s="1863"/>
      <c r="J66" s="1271"/>
      <c r="K66" s="1272" t="s">
        <v>1670</v>
      </c>
      <c r="M66" s="1362" t="s">
        <v>1671</v>
      </c>
      <c r="O66" s="1865"/>
      <c r="Q66" s="1362" t="s">
        <v>1672</v>
      </c>
    </row>
    <row r="67" spans="1:20" ht="5.15" customHeight="1"/>
    <row r="68" spans="1:20" ht="13">
      <c r="A68" s="1273"/>
      <c r="B68" s="1273"/>
      <c r="C68" s="1131">
        <f>C59+1</f>
        <v>27</v>
      </c>
      <c r="D68" s="1273"/>
      <c r="E68" s="1274" t="s">
        <v>1673</v>
      </c>
      <c r="F68" s="1273"/>
      <c r="G68" s="1275"/>
      <c r="H68" s="1273"/>
      <c r="I68" s="1275"/>
      <c r="J68" s="1273"/>
      <c r="K68" s="1276"/>
      <c r="M68" s="1265"/>
      <c r="O68" s="1277"/>
      <c r="Q68" s="1273"/>
    </row>
    <row r="69" spans="1:20" ht="5.15" customHeight="1"/>
    <row r="70" spans="1:20">
      <c r="C70" s="1131">
        <f>C68+1</f>
        <v>28</v>
      </c>
      <c r="E70" s="1260" t="s">
        <v>1650</v>
      </c>
      <c r="G70" s="1278"/>
      <c r="I70" s="1275"/>
      <c r="K70" s="1263">
        <f>K16</f>
        <v>1291072.331317605</v>
      </c>
      <c r="L70" s="1262"/>
      <c r="M70" s="1263">
        <f>M16</f>
        <v>0</v>
      </c>
      <c r="N70" s="1262"/>
      <c r="O70" s="1263">
        <f>O16</f>
        <v>0</v>
      </c>
      <c r="P70" s="1262"/>
      <c r="Q70" s="1263">
        <f>M70+O70</f>
        <v>0</v>
      </c>
      <c r="T70" s="1162"/>
    </row>
    <row r="71" spans="1:20">
      <c r="C71" s="1131">
        <f>C70+1</f>
        <v>29</v>
      </c>
      <c r="E71" s="1260" t="s">
        <v>1675</v>
      </c>
      <c r="G71" s="1278"/>
      <c r="I71" s="1275"/>
      <c r="K71" s="1279">
        <f>K17</f>
        <v>0</v>
      </c>
      <c r="M71" s="1279">
        <f>M17</f>
        <v>0</v>
      </c>
      <c r="O71" s="1279">
        <f>O17</f>
        <v>0</v>
      </c>
      <c r="Q71" s="1264">
        <f>M71+O71</f>
        <v>0</v>
      </c>
    </row>
    <row r="72" spans="1:20">
      <c r="C72" s="1131">
        <f>C71+1</f>
        <v>30</v>
      </c>
      <c r="E72" s="1260" t="s">
        <v>1651</v>
      </c>
      <c r="G72" s="1278"/>
      <c r="I72" s="1275"/>
      <c r="K72" s="1279">
        <f>K18</f>
        <v>0</v>
      </c>
      <c r="M72" s="1279">
        <f>M18</f>
        <v>0</v>
      </c>
      <c r="O72" s="1279">
        <f>O18</f>
        <v>0</v>
      </c>
      <c r="Q72" s="1264">
        <f>M72+O72</f>
        <v>0</v>
      </c>
    </row>
    <row r="73" spans="1:20">
      <c r="C73" s="1131">
        <f>C72+1</f>
        <v>31</v>
      </c>
      <c r="E73" s="1260" t="s">
        <v>1652</v>
      </c>
      <c r="G73" s="1278"/>
      <c r="I73" s="1275"/>
      <c r="K73" s="1279">
        <f>K19</f>
        <v>-5706709.5142091112</v>
      </c>
      <c r="M73" s="1279">
        <f>M19</f>
        <v>0</v>
      </c>
      <c r="O73" s="1279">
        <f>O19</f>
        <v>0</v>
      </c>
      <c r="Q73" s="1264">
        <f>M73+O73</f>
        <v>0</v>
      </c>
      <c r="T73" s="1162"/>
    </row>
    <row r="74" spans="1:20" ht="5.15" customHeight="1">
      <c r="K74" s="1280"/>
      <c r="M74" s="1280"/>
      <c r="O74" s="1280"/>
      <c r="Q74" s="1280"/>
    </row>
    <row r="75" spans="1:20" ht="13">
      <c r="C75" s="1131">
        <f>C73+1</f>
        <v>32</v>
      </c>
      <c r="E75" s="1128" t="s">
        <v>1676</v>
      </c>
      <c r="K75" s="1265">
        <f>SUM(K69:K74)</f>
        <v>-4415637.1828915067</v>
      </c>
      <c r="L75" s="1265"/>
      <c r="M75" s="1265">
        <f>SUM(M69:M74)</f>
        <v>0</v>
      </c>
      <c r="N75" s="1262"/>
      <c r="O75" s="1265">
        <f>SUM(O69:O74)</f>
        <v>0</v>
      </c>
      <c r="P75" s="1265"/>
      <c r="Q75" s="1265">
        <f>SUM(Q69:Q74)</f>
        <v>0</v>
      </c>
    </row>
    <row r="76" spans="1:20">
      <c r="C76" s="1131"/>
    </row>
    <row r="77" spans="1:20" ht="13">
      <c r="A77" s="1273"/>
      <c r="B77" s="1273"/>
      <c r="C77" s="1131">
        <f>C75+1</f>
        <v>33</v>
      </c>
      <c r="D77" s="1273"/>
      <c r="E77" s="1274" t="s">
        <v>1677</v>
      </c>
      <c r="F77" s="1273"/>
      <c r="G77" s="1275"/>
      <c r="H77" s="1273"/>
      <c r="I77" s="1275"/>
      <c r="J77" s="1273"/>
      <c r="K77" s="1276"/>
      <c r="M77" s="1265"/>
      <c r="O77" s="1277"/>
      <c r="Q77" s="1273"/>
    </row>
    <row r="78" spans="1:20" ht="5.15" customHeight="1"/>
    <row r="79" spans="1:20">
      <c r="C79" s="1131">
        <f>C77+1</f>
        <v>34</v>
      </c>
      <c r="E79" s="1260" t="s">
        <v>1650</v>
      </c>
      <c r="G79" s="1278"/>
      <c r="I79" s="1275"/>
      <c r="K79" s="1263">
        <f>K25</f>
        <v>0</v>
      </c>
      <c r="L79" s="1262"/>
      <c r="M79" s="1263">
        <f>M25</f>
        <v>0</v>
      </c>
      <c r="N79" s="1265"/>
      <c r="O79" s="1263">
        <f>O25</f>
        <v>0</v>
      </c>
      <c r="P79" s="1265"/>
      <c r="Q79" s="1263">
        <f>M79+O79</f>
        <v>0</v>
      </c>
    </row>
    <row r="80" spans="1:20">
      <c r="C80" s="1131">
        <f>C79+1</f>
        <v>35</v>
      </c>
      <c r="E80" s="1260" t="s">
        <v>1675</v>
      </c>
      <c r="G80" s="1278"/>
      <c r="I80" s="1275"/>
      <c r="K80" s="1279">
        <f>K26</f>
        <v>0</v>
      </c>
      <c r="M80" s="1279">
        <f>M26</f>
        <v>0</v>
      </c>
      <c r="O80" s="1279">
        <f>O26</f>
        <v>0</v>
      </c>
      <c r="Q80" s="1264">
        <f>M80+O80</f>
        <v>0</v>
      </c>
    </row>
    <row r="81" spans="1:20">
      <c r="C81" s="1131">
        <f>C80+1</f>
        <v>36</v>
      </c>
      <c r="E81" s="1260" t="s">
        <v>1651</v>
      </c>
      <c r="G81" s="1278"/>
      <c r="I81" s="1275"/>
      <c r="K81" s="1279">
        <f>K27</f>
        <v>-46126850.647198208</v>
      </c>
      <c r="M81" s="1279">
        <f>M27</f>
        <v>-9225370.1294396408</v>
      </c>
      <c r="O81" s="1279">
        <f>O27</f>
        <v>9225370.1294396408</v>
      </c>
      <c r="Q81" s="1264">
        <f>M81+O81</f>
        <v>0</v>
      </c>
      <c r="T81" s="1162"/>
    </row>
    <row r="82" spans="1:20">
      <c r="C82" s="1131">
        <f>C81+1</f>
        <v>37</v>
      </c>
      <c r="E82" s="1260" t="s">
        <v>1652</v>
      </c>
      <c r="G82" s="1278"/>
      <c r="I82" s="1275"/>
      <c r="K82" s="1279">
        <f>K28</f>
        <v>0</v>
      </c>
      <c r="M82" s="1279">
        <f>M28</f>
        <v>0</v>
      </c>
      <c r="O82" s="1279">
        <f>O28</f>
        <v>0</v>
      </c>
      <c r="Q82" s="1264">
        <f>M82+O82</f>
        <v>0</v>
      </c>
    </row>
    <row r="83" spans="1:20" ht="5.15" customHeight="1">
      <c r="K83" s="1280"/>
      <c r="M83" s="1280"/>
      <c r="O83" s="1280"/>
      <c r="Q83" s="1280"/>
    </row>
    <row r="84" spans="1:20" ht="13">
      <c r="C84" s="1131">
        <f>C82+1</f>
        <v>38</v>
      </c>
      <c r="E84" s="1128" t="s">
        <v>1676</v>
      </c>
      <c r="K84" s="1265">
        <f>SUM(K78:K83)</f>
        <v>-46126850.647198208</v>
      </c>
      <c r="L84" s="1262"/>
      <c r="M84" s="1265">
        <f>SUM(M78:M83)</f>
        <v>-9225370.1294396408</v>
      </c>
      <c r="N84" s="1265"/>
      <c r="O84" s="1265">
        <f>SUM(O78:O83)</f>
        <v>9225370.1294396408</v>
      </c>
      <c r="P84" s="1265"/>
      <c r="Q84" s="1265">
        <f>SUM(Q78:Q83)</f>
        <v>0</v>
      </c>
    </row>
    <row r="86" spans="1:20" ht="13">
      <c r="A86" s="1273"/>
      <c r="B86" s="1273"/>
      <c r="C86" s="1131">
        <f>C84+1</f>
        <v>39</v>
      </c>
      <c r="D86" s="1273"/>
      <c r="E86" s="1274" t="s">
        <v>1679</v>
      </c>
      <c r="F86" s="1273"/>
      <c r="G86" s="1275"/>
      <c r="H86" s="1273"/>
      <c r="I86" s="1275"/>
      <c r="J86" s="1273"/>
      <c r="K86" s="1276"/>
      <c r="M86" s="1265"/>
      <c r="O86" s="1277"/>
      <c r="Q86" s="1273"/>
    </row>
    <row r="87" spans="1:20" ht="5.15" customHeight="1"/>
    <row r="88" spans="1:20">
      <c r="C88" s="1131">
        <f>C86+1</f>
        <v>40</v>
      </c>
      <c r="E88" s="1260" t="s">
        <v>1650</v>
      </c>
      <c r="G88" s="1278"/>
      <c r="I88" s="1275"/>
      <c r="K88" s="1263">
        <f>K34+K52</f>
        <v>1000863.0827697578</v>
      </c>
      <c r="M88" s="1263">
        <f>M34+M52</f>
        <v>1000863.0827697578</v>
      </c>
      <c r="O88" s="1263">
        <f>O34+O52</f>
        <v>0</v>
      </c>
      <c r="Q88" s="1263">
        <f>Q34+Q52</f>
        <v>1000863.0827697578</v>
      </c>
    </row>
    <row r="89" spans="1:20">
      <c r="C89" s="1131">
        <f>C88+1</f>
        <v>41</v>
      </c>
      <c r="E89" s="1260" t="s">
        <v>1675</v>
      </c>
      <c r="G89" s="1278"/>
      <c r="I89" s="1275"/>
      <c r="K89" s="1279">
        <f>K35+K53</f>
        <v>0</v>
      </c>
      <c r="M89" s="1279">
        <f>M35+M53</f>
        <v>0</v>
      </c>
      <c r="O89" s="1279">
        <f>O35+O53</f>
        <v>0</v>
      </c>
      <c r="Q89" s="1279">
        <f>Q35+Q53</f>
        <v>0</v>
      </c>
    </row>
    <row r="90" spans="1:20">
      <c r="C90" s="1131">
        <f>C89+1</f>
        <v>42</v>
      </c>
      <c r="E90" s="1260" t="s">
        <v>1651</v>
      </c>
      <c r="G90" s="1278"/>
      <c r="I90" s="1275"/>
      <c r="K90" s="1279">
        <f>K36+K54</f>
        <v>-57016495.155828647</v>
      </c>
      <c r="M90" s="1279">
        <f>M36+M54</f>
        <v>-50909990.155828647</v>
      </c>
      <c r="O90" s="1279">
        <f>O36+O54</f>
        <v>1311603</v>
      </c>
      <c r="Q90" s="1279">
        <f>Q36+Q54</f>
        <v>-49598387.155828647</v>
      </c>
    </row>
    <row r="91" spans="1:20">
      <c r="C91" s="1131">
        <f>C90+1</f>
        <v>43</v>
      </c>
      <c r="E91" s="1260" t="s">
        <v>1652</v>
      </c>
      <c r="G91" s="1278"/>
      <c r="I91" s="1275"/>
      <c r="K91" s="1279">
        <f>K37+K55</f>
        <v>0</v>
      </c>
      <c r="M91" s="1279">
        <f>M37+M55</f>
        <v>0</v>
      </c>
      <c r="O91" s="1279">
        <f>O37+O55</f>
        <v>0</v>
      </c>
      <c r="Q91" s="1279">
        <f>Q37+Q55</f>
        <v>0</v>
      </c>
    </row>
    <row r="92" spans="1:20" ht="5.15" customHeight="1">
      <c r="K92" s="1280"/>
      <c r="M92" s="1280"/>
      <c r="O92" s="1280"/>
      <c r="Q92" s="1280"/>
    </row>
    <row r="93" spans="1:20" ht="13">
      <c r="C93" s="1131">
        <f>C91+1</f>
        <v>44</v>
      </c>
      <c r="E93" s="1128" t="s">
        <v>1676</v>
      </c>
      <c r="K93" s="1265">
        <f>SUM(K87:K92)</f>
        <v>-56015632.073058888</v>
      </c>
      <c r="L93" s="1262"/>
      <c r="M93" s="1265">
        <f>SUM(M87:M92)</f>
        <v>-49909127.073058888</v>
      </c>
      <c r="N93" s="1262"/>
      <c r="O93" s="1265">
        <f>SUM(O87:O92)</f>
        <v>1311603</v>
      </c>
      <c r="P93" s="1265"/>
      <c r="Q93" s="1265">
        <f>SUM(Q87:Q92)</f>
        <v>-48597524.073058888</v>
      </c>
      <c r="T93" s="1162"/>
    </row>
    <row r="95" spans="1:20" ht="13.5" thickBot="1">
      <c r="C95" s="1131">
        <f>C93+1</f>
        <v>45</v>
      </c>
      <c r="E95" s="1128" t="s">
        <v>1681</v>
      </c>
      <c r="K95" s="1281">
        <f>K75+K84+K93</f>
        <v>-106558119.90314861</v>
      </c>
      <c r="L95" s="1265"/>
      <c r="M95" s="1281">
        <f>M75+M84+M93</f>
        <v>-59134497.202498525</v>
      </c>
      <c r="N95" s="1265"/>
      <c r="O95" s="1281">
        <f>O75+O84+O93</f>
        <v>10536973.129439641</v>
      </c>
      <c r="P95" s="1265"/>
      <c r="Q95" s="1281">
        <f>Q75+Q84+Q93</f>
        <v>-48597524.073058888</v>
      </c>
      <c r="T95" s="1282"/>
    </row>
    <row r="96" spans="1:20" ht="13">
      <c r="C96" s="1131"/>
      <c r="E96" s="1128"/>
      <c r="K96" s="1284"/>
      <c r="L96" s="1265"/>
      <c r="M96" s="1284"/>
      <c r="N96" s="1265"/>
      <c r="O96" s="1284"/>
      <c r="P96" s="1265"/>
      <c r="Q96" s="1284"/>
      <c r="T96" s="1282"/>
    </row>
    <row r="97" spans="3:19" ht="15.75" customHeight="1">
      <c r="C97" s="1857" t="s">
        <v>1684</v>
      </c>
      <c r="D97" s="1858"/>
      <c r="E97" s="1858"/>
      <c r="F97" s="1858"/>
      <c r="G97" s="1858"/>
      <c r="H97" s="1858"/>
      <c r="I97" s="1858"/>
      <c r="J97" s="1858"/>
      <c r="K97" s="1858"/>
      <c r="L97" s="1858"/>
      <c r="M97" s="1858"/>
      <c r="N97" s="1858"/>
      <c r="O97" s="1858"/>
      <c r="P97" s="1858"/>
      <c r="Q97" s="1859"/>
    </row>
    <row r="99" spans="3:19" ht="13">
      <c r="E99" s="1129" t="s">
        <v>216</v>
      </c>
      <c r="F99" s="1129"/>
      <c r="G99" s="1129" t="s">
        <v>217</v>
      </c>
      <c r="H99" s="1129"/>
      <c r="I99" s="1129" t="s">
        <v>1318</v>
      </c>
      <c r="J99" s="1129"/>
      <c r="K99" s="1129" t="s">
        <v>1566</v>
      </c>
      <c r="L99" s="1129"/>
      <c r="M99" s="1129" t="s">
        <v>1666</v>
      </c>
      <c r="N99" s="1129"/>
      <c r="O99" s="1129" t="s">
        <v>1568</v>
      </c>
      <c r="P99" s="1129"/>
      <c r="Q99" s="1129" t="s">
        <v>1569</v>
      </c>
    </row>
    <row r="100" spans="3:19" ht="15" customHeight="1">
      <c r="C100" s="1846" t="s">
        <v>1576</v>
      </c>
      <c r="D100" s="1360"/>
      <c r="E100" s="1860" t="s">
        <v>1647</v>
      </c>
      <c r="G100" s="1862" t="s">
        <v>380</v>
      </c>
      <c r="I100" s="1862" t="s">
        <v>1667</v>
      </c>
      <c r="M100" s="1727" t="str">
        <f>M11</f>
        <v>December 31, 2021</v>
      </c>
      <c r="O100" s="1864" t="s">
        <v>1669</v>
      </c>
      <c r="Q100" s="1270" t="str">
        <f>Q11</f>
        <v>December 31, 2022</v>
      </c>
    </row>
    <row r="101" spans="3:19" ht="25">
      <c r="C101" s="1847"/>
      <c r="D101" s="1360"/>
      <c r="E101" s="1861"/>
      <c r="F101" s="1271"/>
      <c r="G101" s="1863"/>
      <c r="H101" s="1271"/>
      <c r="I101" s="1863"/>
      <c r="J101" s="1271"/>
      <c r="K101" s="1272" t="s">
        <v>1670</v>
      </c>
      <c r="M101" s="1362" t="s">
        <v>1671</v>
      </c>
      <c r="O101" s="1865"/>
      <c r="Q101" s="1362" t="s">
        <v>1672</v>
      </c>
    </row>
    <row r="102" spans="3:19" ht="5.15" customHeight="1"/>
    <row r="103" spans="3:19">
      <c r="C103" s="1131">
        <f>C95+1</f>
        <v>46</v>
      </c>
      <c r="E103" s="1260" t="s">
        <v>1650</v>
      </c>
      <c r="K103" s="1263">
        <f>K70+K79+K88</f>
        <v>2291935.4140873626</v>
      </c>
      <c r="L103" s="1262"/>
      <c r="M103" s="1263">
        <f>M16+M25+M34+M52</f>
        <v>1000863.0827697578</v>
      </c>
      <c r="N103" s="1262"/>
      <c r="O103" s="1263">
        <f>O16+O25+O34+O52</f>
        <v>0</v>
      </c>
      <c r="P103" s="1262"/>
      <c r="Q103" s="1263">
        <f>M103+O103</f>
        <v>1000863.0827697578</v>
      </c>
    </row>
    <row r="104" spans="3:19">
      <c r="C104" s="1131">
        <f>C103+1</f>
        <v>47</v>
      </c>
      <c r="E104" s="1260" t="s">
        <v>1675</v>
      </c>
      <c r="K104" s="1279">
        <f>K71+K80+K89</f>
        <v>0</v>
      </c>
      <c r="M104" s="1264">
        <f>M17+M26+M35+M53</f>
        <v>0</v>
      </c>
      <c r="O104" s="1264">
        <f>O17+O26+O35+O53</f>
        <v>0</v>
      </c>
      <c r="Q104" s="1264">
        <f>M104+O104</f>
        <v>0</v>
      </c>
    </row>
    <row r="105" spans="3:19">
      <c r="C105" s="1131">
        <f>C104+1</f>
        <v>48</v>
      </c>
      <c r="E105" s="1260" t="s">
        <v>1651</v>
      </c>
      <c r="K105" s="1279">
        <f>K72+K81+K90</f>
        <v>-103143345.80302685</v>
      </c>
      <c r="M105" s="1264">
        <f>M18+M27+M36+M54</f>
        <v>-60135360.285268292</v>
      </c>
      <c r="O105" s="1264">
        <f>O18+O27+O36+O54</f>
        <v>10536973.129439641</v>
      </c>
      <c r="Q105" s="1264">
        <f>M105+O105</f>
        <v>-49598387.155828655</v>
      </c>
    </row>
    <row r="106" spans="3:19">
      <c r="C106" s="1131">
        <f>C105+1</f>
        <v>49</v>
      </c>
      <c r="E106" s="1260" t="s">
        <v>1652</v>
      </c>
      <c r="K106" s="1279">
        <f>K73+K82+K91</f>
        <v>-5706709.5142091112</v>
      </c>
      <c r="M106" s="1264">
        <f>M19+M28+M37+M55</f>
        <v>0</v>
      </c>
      <c r="O106" s="1264">
        <f>O19+O28+O37+O55</f>
        <v>0</v>
      </c>
      <c r="Q106" s="1264">
        <f>M106+O106</f>
        <v>0</v>
      </c>
    </row>
    <row r="107" spans="3:19" ht="5.15" customHeight="1">
      <c r="Q107" s="1280"/>
    </row>
    <row r="108" spans="3:19" ht="13">
      <c r="C108" s="1131">
        <f>C106+1</f>
        <v>50</v>
      </c>
      <c r="E108" s="1128" t="s">
        <v>1681</v>
      </c>
      <c r="K108" s="1285">
        <f>SUM(K103:K107)</f>
        <v>-106558119.90314861</v>
      </c>
      <c r="L108" s="1265"/>
      <c r="M108" s="1285">
        <f>SUM(M103:M107)</f>
        <v>-59134497.202498533</v>
      </c>
      <c r="N108" s="1265"/>
      <c r="O108" s="1285">
        <f>SUM(O103:O107)</f>
        <v>10536973.129439641</v>
      </c>
      <c r="P108" s="1265"/>
      <c r="Q108" s="1285">
        <f>SUM(Q103:Q107)</f>
        <v>-48597524.073058896</v>
      </c>
    </row>
    <row r="109" spans="3:19" ht="5.15" customHeight="1"/>
    <row r="110" spans="3:19">
      <c r="C110" s="1131">
        <f>C108+1</f>
        <v>51</v>
      </c>
      <c r="E110" s="1260" t="s">
        <v>1492</v>
      </c>
      <c r="G110" s="945" t="s">
        <v>1685</v>
      </c>
      <c r="K110" s="1286">
        <f>'ATT H-9A'!$H$262</f>
        <v>1.380395621385089</v>
      </c>
      <c r="M110" s="1286">
        <f>'ATT H-9A'!$H$262</f>
        <v>1.380395621385089</v>
      </c>
      <c r="O110" s="1286">
        <f>'ATT H-9A'!$H$262</f>
        <v>1.380395621385089</v>
      </c>
      <c r="Q110" s="1286">
        <f>'ATT H-9A'!$H$262</f>
        <v>1.380395621385089</v>
      </c>
    </row>
    <row r="111" spans="3:19" ht="5.15" customHeight="1"/>
    <row r="112" spans="3:19" ht="13.5" thickBot="1">
      <c r="C112" s="1131">
        <f>C110+1</f>
        <v>52</v>
      </c>
      <c r="E112" s="1128" t="s">
        <v>1686</v>
      </c>
      <c r="K112" s="1287">
        <f>K108*K110</f>
        <v>-147092362.13733363</v>
      </c>
      <c r="L112" s="1265"/>
      <c r="M112" s="1287">
        <f>M108*M110</f>
        <v>-81629001.011137769</v>
      </c>
      <c r="N112" s="1265"/>
      <c r="O112" s="1287">
        <f>O108*O110</f>
        <v>14545191.570530819</v>
      </c>
      <c r="P112" s="1265"/>
      <c r="Q112" s="1287">
        <f>Q108*Q110</f>
        <v>-67083809.440606952</v>
      </c>
      <c r="S112" s="111"/>
    </row>
    <row r="113" spans="3:17" ht="13" thickTop="1"/>
    <row r="115" spans="3:17" ht="15.75" customHeight="1">
      <c r="C115" s="1857" t="s">
        <v>1687</v>
      </c>
      <c r="D115" s="1858"/>
      <c r="E115" s="1858"/>
      <c r="F115" s="1858"/>
      <c r="G115" s="1858"/>
      <c r="H115" s="1858"/>
      <c r="I115" s="1858"/>
      <c r="J115" s="1858"/>
      <c r="K115" s="1858"/>
      <c r="L115" s="1858"/>
      <c r="M115" s="1858"/>
      <c r="N115" s="1858"/>
      <c r="O115" s="1858"/>
      <c r="P115" s="1858"/>
      <c r="Q115" s="1859"/>
    </row>
    <row r="117" spans="3:17" ht="13">
      <c r="E117" s="1129" t="s">
        <v>216</v>
      </c>
      <c r="F117" s="1129"/>
      <c r="G117" s="1129" t="s">
        <v>217</v>
      </c>
      <c r="H117" s="1129"/>
      <c r="I117" s="1129" t="s">
        <v>1318</v>
      </c>
      <c r="J117" s="1129"/>
      <c r="K117" s="1129" t="s">
        <v>1566</v>
      </c>
      <c r="L117" s="1129"/>
      <c r="M117" s="1129" t="s">
        <v>1666</v>
      </c>
      <c r="N117" s="1129"/>
      <c r="O117" s="1129" t="s">
        <v>1568</v>
      </c>
      <c r="P117" s="1129"/>
      <c r="Q117" s="1129" t="s">
        <v>1569</v>
      </c>
    </row>
    <row r="118" spans="3:17">
      <c r="C118" s="1852" t="s">
        <v>1576</v>
      </c>
      <c r="E118" s="1853" t="s">
        <v>1688</v>
      </c>
      <c r="G118" s="1855" t="s">
        <v>380</v>
      </c>
      <c r="H118" s="1855"/>
      <c r="I118" s="1855"/>
      <c r="K118" s="1269"/>
      <c r="M118" s="1727" t="str">
        <f>M11</f>
        <v>December 31, 2021</v>
      </c>
      <c r="Q118" s="1270" t="str">
        <f>Q11</f>
        <v>December 31, 2022</v>
      </c>
    </row>
    <row r="119" spans="3:17" ht="25">
      <c r="C119" s="1831"/>
      <c r="E119" s="1854"/>
      <c r="G119" s="1856"/>
      <c r="H119" s="1856"/>
      <c r="I119" s="1856"/>
      <c r="J119" s="1271"/>
      <c r="K119" s="1272" t="s">
        <v>1670</v>
      </c>
      <c r="M119" s="1362" t="s">
        <v>1671</v>
      </c>
      <c r="O119" s="1362" t="s">
        <v>1669</v>
      </c>
      <c r="Q119" s="1362" t="s">
        <v>1672</v>
      </c>
    </row>
    <row r="120" spans="3:17" ht="5.15" customHeight="1"/>
    <row r="121" spans="3:17">
      <c r="C121" s="1131">
        <f>C112+1</f>
        <v>53</v>
      </c>
      <c r="E121" s="1260" t="s">
        <v>1689</v>
      </c>
      <c r="K121" s="1263">
        <v>0</v>
      </c>
      <c r="L121" s="1262"/>
      <c r="M121" s="1263">
        <v>0</v>
      </c>
      <c r="N121" s="1262"/>
      <c r="O121" s="1263">
        <v>0</v>
      </c>
      <c r="P121" s="1262"/>
      <c r="Q121" s="1263">
        <v>0</v>
      </c>
    </row>
    <row r="122" spans="3:17">
      <c r="C122" s="1131">
        <f>C121+1</f>
        <v>54</v>
      </c>
      <c r="E122" s="1260" t="s">
        <v>1690</v>
      </c>
      <c r="K122" s="1264">
        <f>K112</f>
        <v>-147092362.13733363</v>
      </c>
      <c r="M122" s="1264">
        <f>M112</f>
        <v>-81629001.011137769</v>
      </c>
      <c r="O122" s="1264">
        <f>O112</f>
        <v>14545191.570530819</v>
      </c>
      <c r="Q122" s="1264">
        <f>Q112</f>
        <v>-67083809.440606952</v>
      </c>
    </row>
    <row r="123" spans="3:17" ht="5.15" customHeight="1">
      <c r="K123" s="1280"/>
      <c r="M123" s="1280"/>
      <c r="O123" s="1280"/>
      <c r="Q123" s="1280"/>
    </row>
    <row r="124" spans="3:17" ht="13">
      <c r="C124" s="1131">
        <f>C122+1</f>
        <v>55</v>
      </c>
      <c r="E124" s="1128" t="s">
        <v>1691</v>
      </c>
      <c r="K124" s="1265">
        <f>SUM(K121:K123)</f>
        <v>-147092362.13733363</v>
      </c>
      <c r="L124" s="1265"/>
      <c r="M124" s="1265">
        <f>SUM(M121:M123)</f>
        <v>-81629001.011137769</v>
      </c>
      <c r="N124" s="1262"/>
      <c r="O124" s="1265">
        <f>SUM(O121:O123)</f>
        <v>14545191.570530819</v>
      </c>
      <c r="P124" s="1262"/>
      <c r="Q124" s="1265">
        <f>SUM(Q121:Q123)</f>
        <v>-67083809.440606952</v>
      </c>
    </row>
    <row r="128" spans="3:17" ht="15.75" customHeight="1">
      <c r="C128" s="1849" t="s">
        <v>1653</v>
      </c>
      <c r="D128" s="1849"/>
      <c r="E128" s="1849"/>
      <c r="F128" s="1849"/>
      <c r="G128" s="1849"/>
      <c r="H128" s="1849"/>
      <c r="I128" s="1849"/>
      <c r="J128" s="1849"/>
      <c r="K128" s="1849"/>
      <c r="L128" s="1849"/>
      <c r="M128" s="1849"/>
      <c r="N128" s="1849"/>
      <c r="O128" s="1849"/>
      <c r="P128" s="1849"/>
      <c r="Q128" s="1849"/>
    </row>
    <row r="130" spans="1:17" ht="15.75" customHeight="1">
      <c r="C130" s="1857" t="s">
        <v>1692</v>
      </c>
      <c r="D130" s="1858"/>
      <c r="E130" s="1858"/>
      <c r="F130" s="1858"/>
      <c r="G130" s="1858"/>
      <c r="H130" s="1858"/>
      <c r="I130" s="1858"/>
      <c r="J130" s="1858"/>
      <c r="K130" s="1858"/>
      <c r="L130" s="1858"/>
      <c r="M130" s="1858"/>
      <c r="N130" s="1858"/>
      <c r="O130" s="1858"/>
      <c r="P130" s="1858"/>
      <c r="Q130" s="1859"/>
    </row>
    <row r="132" spans="1:17" ht="13">
      <c r="E132" s="1129" t="s">
        <v>216</v>
      </c>
      <c r="F132" s="1129"/>
      <c r="G132" s="1129" t="s">
        <v>217</v>
      </c>
      <c r="H132" s="1129"/>
      <c r="I132" s="1129" t="s">
        <v>1318</v>
      </c>
      <c r="J132" s="1129"/>
      <c r="K132" s="1129" t="s">
        <v>1566</v>
      </c>
      <c r="L132" s="1129"/>
      <c r="M132" s="1129" t="s">
        <v>1666</v>
      </c>
      <c r="N132" s="1129"/>
      <c r="O132" s="1129" t="s">
        <v>1568</v>
      </c>
      <c r="P132" s="1129"/>
      <c r="Q132" s="1129" t="s">
        <v>1569</v>
      </c>
    </row>
    <row r="133" spans="1:17" ht="15" customHeight="1">
      <c r="C133" s="1846" t="s">
        <v>1576</v>
      </c>
      <c r="D133" s="1360"/>
      <c r="E133" s="1860" t="s">
        <v>1647</v>
      </c>
      <c r="G133" s="1862" t="s">
        <v>380</v>
      </c>
      <c r="I133" s="1862" t="s">
        <v>1667</v>
      </c>
      <c r="K133" s="1269"/>
      <c r="M133" s="1727" t="str">
        <f>M11</f>
        <v>December 31, 2021</v>
      </c>
      <c r="O133" s="1864" t="s">
        <v>1669</v>
      </c>
      <c r="Q133" s="1270" t="str">
        <f>Q11</f>
        <v>December 31, 2022</v>
      </c>
    </row>
    <row r="134" spans="1:17" ht="25">
      <c r="C134" s="1847"/>
      <c r="D134" s="1360"/>
      <c r="E134" s="1861"/>
      <c r="F134" s="1271"/>
      <c r="G134" s="1863"/>
      <c r="H134" s="1271"/>
      <c r="I134" s="1863"/>
      <c r="J134" s="1271"/>
      <c r="K134" s="1272" t="s">
        <v>1670</v>
      </c>
      <c r="M134" s="1362" t="s">
        <v>1671</v>
      </c>
      <c r="O134" s="1865"/>
      <c r="Q134" s="1362" t="s">
        <v>1672</v>
      </c>
    </row>
    <row r="135" spans="1:17" ht="5.15" customHeight="1"/>
    <row r="136" spans="1:17" ht="13">
      <c r="A136" s="1273"/>
      <c r="B136" s="1273"/>
      <c r="C136" s="1131">
        <f>C124+1</f>
        <v>56</v>
      </c>
      <c r="D136" s="1273"/>
      <c r="E136" s="1274" t="s">
        <v>1673</v>
      </c>
      <c r="F136" s="1273"/>
      <c r="G136" s="1275"/>
      <c r="H136" s="1273"/>
      <c r="I136" s="1275"/>
      <c r="J136" s="1273"/>
      <c r="K136" s="1276"/>
      <c r="M136" s="1265"/>
      <c r="O136" s="1277"/>
      <c r="Q136" s="1273"/>
    </row>
    <row r="137" spans="1:17" ht="5.15" customHeight="1">
      <c r="C137" s="1131"/>
    </row>
    <row r="138" spans="1:17">
      <c r="C138" s="1131">
        <f>C136+1</f>
        <v>57</v>
      </c>
      <c r="E138" s="1260" t="s">
        <v>1650</v>
      </c>
      <c r="G138" s="1278" t="s">
        <v>82</v>
      </c>
      <c r="I138" s="1275" t="s">
        <v>1674</v>
      </c>
      <c r="K138" s="1263">
        <v>132587</v>
      </c>
      <c r="L138" s="1262"/>
      <c r="M138" s="1263">
        <v>24859.75</v>
      </c>
      <c r="N138" s="1262"/>
      <c r="O138" s="1263">
        <f>-M138</f>
        <v>-24859.75</v>
      </c>
      <c r="P138" s="1262"/>
      <c r="Q138" s="1263">
        <f>M138+O138</f>
        <v>0</v>
      </c>
    </row>
    <row r="139" spans="1:17">
      <c r="C139" s="1131">
        <f>C138+1</f>
        <v>58</v>
      </c>
      <c r="E139" s="1260" t="s">
        <v>1675</v>
      </c>
      <c r="G139" s="1278" t="s">
        <v>82</v>
      </c>
      <c r="I139" s="1275" t="s">
        <v>1674</v>
      </c>
      <c r="K139" s="1279">
        <v>0</v>
      </c>
      <c r="M139" s="1279">
        <v>0</v>
      </c>
      <c r="O139" s="1279">
        <f>-K139/4</f>
        <v>0</v>
      </c>
      <c r="Q139" s="1264">
        <f>M139+O139</f>
        <v>0</v>
      </c>
    </row>
    <row r="140" spans="1:17">
      <c r="C140" s="1131">
        <f>C139+1</f>
        <v>59</v>
      </c>
      <c r="E140" s="1260" t="s">
        <v>1651</v>
      </c>
      <c r="G140" s="1278" t="s">
        <v>82</v>
      </c>
      <c r="I140" s="1275" t="s">
        <v>1674</v>
      </c>
      <c r="K140" s="1279">
        <v>0</v>
      </c>
      <c r="M140" s="1279">
        <v>0</v>
      </c>
      <c r="O140" s="1279">
        <f>-K140/4</f>
        <v>0</v>
      </c>
      <c r="Q140" s="1264">
        <f>M140+O140</f>
        <v>0</v>
      </c>
    </row>
    <row r="141" spans="1:17">
      <c r="C141" s="1131">
        <f>C140+1</f>
        <v>60</v>
      </c>
      <c r="E141" s="1260" t="s">
        <v>1652</v>
      </c>
      <c r="G141" s="1278" t="s">
        <v>82</v>
      </c>
      <c r="I141" s="1275" t="s">
        <v>1674</v>
      </c>
      <c r="K141" s="1279">
        <v>0</v>
      </c>
      <c r="M141" s="1279">
        <v>0</v>
      </c>
      <c r="O141" s="1279">
        <f>-K141/4</f>
        <v>0</v>
      </c>
      <c r="Q141" s="1264">
        <f>M141+O141</f>
        <v>0</v>
      </c>
    </row>
    <row r="142" spans="1:17" ht="5.15" customHeight="1">
      <c r="K142" s="1280"/>
      <c r="M142" s="1280"/>
      <c r="O142" s="1280"/>
      <c r="Q142" s="1280"/>
    </row>
    <row r="143" spans="1:17" ht="13">
      <c r="C143" s="1131">
        <f>C141+1</f>
        <v>61</v>
      </c>
      <c r="E143" s="1128" t="s">
        <v>1676</v>
      </c>
      <c r="K143" s="1265">
        <f>SUM(K137:K142)</f>
        <v>132587</v>
      </c>
      <c r="L143" s="1265"/>
      <c r="M143" s="1265">
        <f>SUM(M137:M142)</f>
        <v>24859.75</v>
      </c>
      <c r="N143" s="1262"/>
      <c r="O143" s="1265">
        <f>SUM(O137:O142)</f>
        <v>-24859.75</v>
      </c>
      <c r="P143" s="1265"/>
      <c r="Q143" s="1265">
        <f>SUM(Q137:Q142)</f>
        <v>0</v>
      </c>
    </row>
    <row r="145" spans="1:17" ht="13">
      <c r="A145" s="1273"/>
      <c r="B145" s="1273"/>
      <c r="C145" s="1131">
        <f>C143+1</f>
        <v>62</v>
      </c>
      <c r="D145" s="1273"/>
      <c r="E145" s="1274" t="s">
        <v>1677</v>
      </c>
      <c r="F145" s="1273"/>
      <c r="G145" s="1275"/>
      <c r="H145" s="1273"/>
      <c r="I145" s="1275"/>
      <c r="J145" s="1273"/>
      <c r="K145" s="1276"/>
      <c r="M145" s="1265"/>
      <c r="O145" s="1277"/>
      <c r="Q145" s="1273"/>
    </row>
    <row r="146" spans="1:17" ht="5.15" customHeight="1"/>
    <row r="147" spans="1:17">
      <c r="C147" s="1131">
        <f>C145+1</f>
        <v>63</v>
      </c>
      <c r="E147" s="1260" t="s">
        <v>1650</v>
      </c>
      <c r="G147" s="1278" t="s">
        <v>82</v>
      </c>
      <c r="I147" s="1275" t="s">
        <v>1678</v>
      </c>
      <c r="K147" s="1263">
        <v>0</v>
      </c>
      <c r="L147" s="1262"/>
      <c r="M147" s="1263">
        <v>0</v>
      </c>
      <c r="N147" s="1265"/>
      <c r="O147" s="1263">
        <v>0</v>
      </c>
      <c r="P147" s="1265"/>
      <c r="Q147" s="1263">
        <f>M147+O147</f>
        <v>0</v>
      </c>
    </row>
    <row r="148" spans="1:17">
      <c r="C148" s="1131">
        <f>C147+1</f>
        <v>64</v>
      </c>
      <c r="E148" s="1260" t="s">
        <v>1675</v>
      </c>
      <c r="G148" s="1278" t="s">
        <v>82</v>
      </c>
      <c r="I148" s="1275" t="s">
        <v>1678</v>
      </c>
      <c r="K148" s="1279">
        <v>0</v>
      </c>
      <c r="M148" s="1279">
        <v>0</v>
      </c>
      <c r="O148" s="1279">
        <v>0</v>
      </c>
      <c r="Q148" s="1264">
        <f>M148+O148</f>
        <v>0</v>
      </c>
    </row>
    <row r="149" spans="1:17">
      <c r="C149" s="1131">
        <f>C148+1</f>
        <v>65</v>
      </c>
      <c r="E149" s="1260" t="s">
        <v>1651</v>
      </c>
      <c r="G149" s="1278" t="s">
        <v>82</v>
      </c>
      <c r="I149" s="1275" t="s">
        <v>1678</v>
      </c>
      <c r="K149" s="1279">
        <v>1905435</v>
      </c>
      <c r="M149" s="1279">
        <v>666902.25</v>
      </c>
      <c r="O149" s="1279">
        <f>-K149/5</f>
        <v>-381087</v>
      </c>
      <c r="Q149" s="1264">
        <f>M149+O149</f>
        <v>285815.25</v>
      </c>
    </row>
    <row r="150" spans="1:17">
      <c r="C150" s="1131">
        <f>C149+1</f>
        <v>66</v>
      </c>
      <c r="E150" s="1260" t="s">
        <v>1652</v>
      </c>
      <c r="G150" s="1278" t="s">
        <v>82</v>
      </c>
      <c r="I150" s="1275" t="s">
        <v>1678</v>
      </c>
      <c r="K150" s="1279">
        <v>0</v>
      </c>
      <c r="M150" s="1279">
        <v>0</v>
      </c>
      <c r="O150" s="1279">
        <v>0</v>
      </c>
      <c r="Q150" s="1264">
        <f>M150+O150</f>
        <v>0</v>
      </c>
    </row>
    <row r="151" spans="1:17" ht="5.15" customHeight="1">
      <c r="K151" s="1280"/>
      <c r="M151" s="1280"/>
      <c r="O151" s="1280"/>
      <c r="Q151" s="1280"/>
    </row>
    <row r="152" spans="1:17" ht="13">
      <c r="C152" s="1131">
        <f>C150+1</f>
        <v>67</v>
      </c>
      <c r="E152" s="1128" t="s">
        <v>1676</v>
      </c>
      <c r="K152" s="1265">
        <f>SUM(K146:K151)</f>
        <v>1905435</v>
      </c>
      <c r="L152" s="1262"/>
      <c r="M152" s="1265">
        <f>SUM(M146:M151)</f>
        <v>666902.25</v>
      </c>
      <c r="N152" s="1265"/>
      <c r="O152" s="1265">
        <f>SUM(O146:O151)</f>
        <v>-381087</v>
      </c>
      <c r="P152" s="1265"/>
      <c r="Q152" s="1265">
        <f>SUM(Q146:Q151)</f>
        <v>285815.25</v>
      </c>
    </row>
    <row r="154" spans="1:17" ht="13">
      <c r="A154" s="1273"/>
      <c r="B154" s="1273"/>
      <c r="C154" s="1131">
        <f>C152+1</f>
        <v>68</v>
      </c>
      <c r="D154" s="1273"/>
      <c r="E154" s="1274" t="s">
        <v>1679</v>
      </c>
      <c r="F154" s="1273"/>
      <c r="G154" s="1275"/>
      <c r="H154" s="1273"/>
      <c r="I154" s="1275"/>
      <c r="J154" s="1273"/>
      <c r="K154" s="1276"/>
      <c r="M154" s="1265"/>
      <c r="O154" s="1277"/>
      <c r="Q154" s="1273"/>
    </row>
    <row r="155" spans="1:17" ht="5.15" customHeight="1"/>
    <row r="156" spans="1:17">
      <c r="C156" s="1131">
        <f>C154+1</f>
        <v>69</v>
      </c>
      <c r="E156" s="1260" t="s">
        <v>1650</v>
      </c>
      <c r="G156" s="1278" t="s">
        <v>82</v>
      </c>
      <c r="I156" s="1275" t="s">
        <v>1693</v>
      </c>
      <c r="K156" s="1263">
        <v>0</v>
      </c>
      <c r="M156" s="1263">
        <v>0</v>
      </c>
      <c r="N156" s="1265"/>
      <c r="O156" s="1263">
        <v>0</v>
      </c>
      <c r="P156" s="1265"/>
      <c r="Q156" s="1263">
        <f>M156+O156</f>
        <v>0</v>
      </c>
    </row>
    <row r="157" spans="1:17">
      <c r="C157" s="1131">
        <f>C156+1</f>
        <v>70</v>
      </c>
      <c r="E157" s="1260" t="s">
        <v>1675</v>
      </c>
      <c r="G157" s="1278" t="s">
        <v>82</v>
      </c>
      <c r="I157" s="1275" t="s">
        <v>1693</v>
      </c>
      <c r="K157" s="1279">
        <v>0</v>
      </c>
      <c r="M157" s="1279">
        <v>0</v>
      </c>
      <c r="O157" s="1279">
        <v>0</v>
      </c>
      <c r="Q157" s="1264">
        <f>M157+O157</f>
        <v>0</v>
      </c>
    </row>
    <row r="158" spans="1:17">
      <c r="C158" s="1131">
        <f>C157+1</f>
        <v>71</v>
      </c>
      <c r="E158" s="1260" t="s">
        <v>1651</v>
      </c>
      <c r="G158" s="1278" t="s">
        <v>82</v>
      </c>
      <c r="I158" s="1275" t="s">
        <v>1693</v>
      </c>
      <c r="K158" s="1279">
        <v>0</v>
      </c>
      <c r="M158" s="1279">
        <v>0</v>
      </c>
      <c r="O158" s="1279">
        <v>0</v>
      </c>
      <c r="Q158" s="1264">
        <f>M158+O158</f>
        <v>0</v>
      </c>
    </row>
    <row r="159" spans="1:17">
      <c r="C159" s="1131">
        <f>C158+1</f>
        <v>72</v>
      </c>
      <c r="E159" s="1260" t="s">
        <v>1652</v>
      </c>
      <c r="G159" s="1278" t="s">
        <v>82</v>
      </c>
      <c r="I159" s="1275" t="s">
        <v>1693</v>
      </c>
      <c r="K159" s="1279">
        <v>0</v>
      </c>
      <c r="M159" s="1279">
        <v>0</v>
      </c>
      <c r="O159" s="1279">
        <v>0</v>
      </c>
      <c r="Q159" s="1264">
        <f>M159+O159</f>
        <v>0</v>
      </c>
    </row>
    <row r="160" spans="1:17" ht="5.15" customHeight="1">
      <c r="K160" s="1280"/>
      <c r="M160" s="1280"/>
      <c r="O160" s="1280"/>
      <c r="Q160" s="1280"/>
    </row>
    <row r="161" spans="1:17" ht="13">
      <c r="C161" s="1131">
        <f>C159+1</f>
        <v>73</v>
      </c>
      <c r="E161" s="1128" t="s">
        <v>1676</v>
      </c>
      <c r="K161" s="1265">
        <f>SUM(K155:K160)</f>
        <v>0</v>
      </c>
      <c r="L161" s="1262"/>
      <c r="M161" s="1265">
        <f>SUM(M155:M160)</f>
        <v>0</v>
      </c>
      <c r="N161" s="1262"/>
      <c r="O161" s="1265">
        <f>SUM(O155:O160)</f>
        <v>0</v>
      </c>
      <c r="P161" s="1265"/>
      <c r="Q161" s="1265">
        <f>SUM(Q155:Q160)</f>
        <v>0</v>
      </c>
    </row>
    <row r="163" spans="1:17" ht="13.5" thickBot="1">
      <c r="C163" s="1131">
        <f>C161+1</f>
        <v>74</v>
      </c>
      <c r="E163" s="1128" t="s">
        <v>1681</v>
      </c>
      <c r="K163" s="1281">
        <f>K143+K152+K161</f>
        <v>2038022</v>
      </c>
      <c r="L163" s="1265"/>
      <c r="M163" s="1281">
        <f>M143+M152+M161</f>
        <v>691762</v>
      </c>
      <c r="N163" s="1265"/>
      <c r="O163" s="1281">
        <f>O143+O152+O161</f>
        <v>-405946.75</v>
      </c>
      <c r="P163" s="1265"/>
      <c r="Q163" s="1281">
        <f>Q143+Q152+Q161</f>
        <v>285815.25</v>
      </c>
    </row>
    <row r="166" spans="1:17" ht="15.75" customHeight="1">
      <c r="C166" s="1857" t="s">
        <v>1694</v>
      </c>
      <c r="D166" s="1858"/>
      <c r="E166" s="1858"/>
      <c r="F166" s="1858"/>
      <c r="G166" s="1858"/>
      <c r="H166" s="1858"/>
      <c r="I166" s="1858"/>
      <c r="J166" s="1858"/>
      <c r="K166" s="1858"/>
      <c r="L166" s="1858"/>
      <c r="M166" s="1858"/>
      <c r="N166" s="1858"/>
      <c r="O166" s="1858"/>
      <c r="P166" s="1858"/>
      <c r="Q166" s="1859"/>
    </row>
    <row r="168" spans="1:17" ht="13">
      <c r="E168" s="1129" t="s">
        <v>216</v>
      </c>
      <c r="F168" s="1129"/>
      <c r="G168" s="1129" t="s">
        <v>217</v>
      </c>
      <c r="H168" s="1129"/>
      <c r="I168" s="1129" t="s">
        <v>1318</v>
      </c>
      <c r="J168" s="1129"/>
      <c r="K168" s="1129" t="s">
        <v>1566</v>
      </c>
      <c r="L168" s="1129"/>
      <c r="M168" s="1129" t="s">
        <v>1666</v>
      </c>
      <c r="N168" s="1129"/>
      <c r="O168" s="1129" t="s">
        <v>1568</v>
      </c>
      <c r="P168" s="1129"/>
      <c r="Q168" s="1129" t="s">
        <v>1569</v>
      </c>
    </row>
    <row r="169" spans="1:17" ht="15" customHeight="1">
      <c r="C169" s="1846" t="s">
        <v>1576</v>
      </c>
      <c r="D169" s="1360"/>
      <c r="E169" s="1860" t="s">
        <v>1647</v>
      </c>
      <c r="G169" s="1862" t="s">
        <v>380</v>
      </c>
      <c r="I169" s="1862" t="s">
        <v>1667</v>
      </c>
      <c r="K169" s="1269"/>
      <c r="M169" s="1727" t="str">
        <f>M11</f>
        <v>December 31, 2021</v>
      </c>
      <c r="O169" s="1864" t="s">
        <v>1669</v>
      </c>
      <c r="Q169" s="1270" t="str">
        <f>Q11</f>
        <v>December 31, 2022</v>
      </c>
    </row>
    <row r="170" spans="1:17" ht="25">
      <c r="C170" s="1847"/>
      <c r="D170" s="1360"/>
      <c r="E170" s="1861"/>
      <c r="F170" s="1271"/>
      <c r="G170" s="1863"/>
      <c r="H170" s="1271"/>
      <c r="I170" s="1863"/>
      <c r="J170" s="1271"/>
      <c r="K170" s="1272" t="s">
        <v>1670</v>
      </c>
      <c r="M170" s="1362" t="s">
        <v>1671</v>
      </c>
      <c r="O170" s="1865"/>
      <c r="Q170" s="1362" t="s">
        <v>1672</v>
      </c>
    </row>
    <row r="171" spans="1:17" ht="5.15" customHeight="1"/>
    <row r="172" spans="1:17" ht="13">
      <c r="A172" s="1273"/>
      <c r="B172" s="1273"/>
      <c r="C172" s="1131">
        <f>C163+1</f>
        <v>75</v>
      </c>
      <c r="D172" s="1273"/>
      <c r="E172" s="1274" t="s">
        <v>1673</v>
      </c>
      <c r="F172" s="1273"/>
      <c r="G172" s="1275"/>
      <c r="H172" s="1273"/>
      <c r="I172" s="1275"/>
      <c r="J172" s="1273"/>
      <c r="K172" s="1276"/>
      <c r="M172" s="1265"/>
      <c r="O172" s="1277"/>
      <c r="Q172" s="1273"/>
    </row>
    <row r="173" spans="1:17" ht="5.15" customHeight="1">
      <c r="C173" s="1131"/>
    </row>
    <row r="174" spans="1:17">
      <c r="C174" s="1131">
        <f>C172+1</f>
        <v>76</v>
      </c>
      <c r="E174" s="1260" t="s">
        <v>1650</v>
      </c>
      <c r="G174" s="1278" t="s">
        <v>979</v>
      </c>
      <c r="I174" s="1275" t="s">
        <v>1674</v>
      </c>
      <c r="K174" s="1263">
        <f>22098</f>
        <v>22098</v>
      </c>
      <c r="L174" s="1262"/>
      <c r="M174" s="1263">
        <v>4143.5</v>
      </c>
      <c r="N174" s="1262"/>
      <c r="O174" s="1263">
        <f>-M174</f>
        <v>-4143.5</v>
      </c>
      <c r="P174" s="1262"/>
      <c r="Q174" s="1263">
        <f>M174+O174</f>
        <v>0</v>
      </c>
    </row>
    <row r="175" spans="1:17">
      <c r="C175" s="1131">
        <f>C174+1</f>
        <v>77</v>
      </c>
      <c r="E175" s="1260" t="s">
        <v>1675</v>
      </c>
      <c r="G175" s="1278" t="s">
        <v>979</v>
      </c>
      <c r="I175" s="1275" t="s">
        <v>1674</v>
      </c>
      <c r="K175" s="1279">
        <v>0</v>
      </c>
      <c r="M175" s="1279">
        <v>0</v>
      </c>
      <c r="O175" s="1279">
        <f>-K175/4</f>
        <v>0</v>
      </c>
      <c r="Q175" s="1264">
        <f>M175+O175</f>
        <v>0</v>
      </c>
    </row>
    <row r="176" spans="1:17">
      <c r="C176" s="1131">
        <f>C175+1</f>
        <v>78</v>
      </c>
      <c r="E176" s="1260" t="s">
        <v>1651</v>
      </c>
      <c r="G176" s="1278" t="s">
        <v>979</v>
      </c>
      <c r="I176" s="1275" t="s">
        <v>1674</v>
      </c>
      <c r="K176" s="1279">
        <v>0</v>
      </c>
      <c r="M176" s="1279">
        <v>0</v>
      </c>
      <c r="O176" s="1279">
        <f>-K176/4</f>
        <v>0</v>
      </c>
      <c r="Q176" s="1264">
        <f>M176+O176</f>
        <v>0</v>
      </c>
    </row>
    <row r="177" spans="1:17">
      <c r="C177" s="1131">
        <f>C176+1</f>
        <v>79</v>
      </c>
      <c r="E177" s="1260" t="s">
        <v>1652</v>
      </c>
      <c r="G177" s="1278" t="s">
        <v>979</v>
      </c>
      <c r="I177" s="1275" t="s">
        <v>1674</v>
      </c>
      <c r="K177" s="1279">
        <v>0</v>
      </c>
      <c r="M177" s="1279">
        <v>0</v>
      </c>
      <c r="O177" s="1279">
        <f>-K177/4</f>
        <v>0</v>
      </c>
      <c r="Q177" s="1264">
        <f>M177+O177</f>
        <v>0</v>
      </c>
    </row>
    <row r="178" spans="1:17" ht="5.15" customHeight="1">
      <c r="K178" s="1280"/>
      <c r="M178" s="1280"/>
      <c r="O178" s="1280"/>
      <c r="Q178" s="1280"/>
    </row>
    <row r="179" spans="1:17" ht="13">
      <c r="C179" s="1131">
        <f>C177+1</f>
        <v>80</v>
      </c>
      <c r="E179" s="1128" t="s">
        <v>1676</v>
      </c>
      <c r="K179" s="1265">
        <f>SUM(K173:K178)</f>
        <v>22098</v>
      </c>
      <c r="L179" s="1265"/>
      <c r="M179" s="1265">
        <f>SUM(M173:M178)</f>
        <v>4143.5</v>
      </c>
      <c r="N179" s="1262"/>
      <c r="O179" s="1265">
        <f>SUM(O173:O178)</f>
        <v>-4143.5</v>
      </c>
      <c r="P179" s="1265"/>
      <c r="Q179" s="1265">
        <f>SUM(Q173:Q178)</f>
        <v>0</v>
      </c>
    </row>
    <row r="181" spans="1:17" ht="13">
      <c r="A181" s="1273"/>
      <c r="B181" s="1273"/>
      <c r="C181" s="1131">
        <f>C179+1</f>
        <v>81</v>
      </c>
      <c r="D181" s="1273"/>
      <c r="E181" s="1274" t="s">
        <v>1677</v>
      </c>
      <c r="F181" s="1273"/>
      <c r="G181" s="1275"/>
      <c r="H181" s="1273"/>
      <c r="I181" s="1275"/>
      <c r="J181" s="1273"/>
      <c r="K181" s="1276"/>
      <c r="M181" s="1265"/>
      <c r="O181" s="1277"/>
      <c r="Q181" s="1273"/>
    </row>
    <row r="182" spans="1:17" ht="5.15" customHeight="1"/>
    <row r="183" spans="1:17">
      <c r="C183" s="1131">
        <f>C181+1</f>
        <v>82</v>
      </c>
      <c r="E183" s="1260" t="s">
        <v>1650</v>
      </c>
      <c r="G183" s="1278" t="s">
        <v>979</v>
      </c>
      <c r="I183" s="1275" t="s">
        <v>1678</v>
      </c>
      <c r="K183" s="1263">
        <v>0</v>
      </c>
      <c r="L183" s="1262"/>
      <c r="M183" s="1263">
        <v>0</v>
      </c>
      <c r="N183" s="1265"/>
      <c r="O183" s="1263">
        <v>0</v>
      </c>
      <c r="P183" s="1265"/>
      <c r="Q183" s="1263">
        <f>M183+O183</f>
        <v>0</v>
      </c>
    </row>
    <row r="184" spans="1:17">
      <c r="C184" s="1131">
        <f>C183+1</f>
        <v>83</v>
      </c>
      <c r="E184" s="1260" t="s">
        <v>1675</v>
      </c>
      <c r="G184" s="1278" t="s">
        <v>979</v>
      </c>
      <c r="I184" s="1275" t="s">
        <v>1678</v>
      </c>
      <c r="K184" s="1279">
        <v>0</v>
      </c>
      <c r="M184" s="1279">
        <v>0</v>
      </c>
      <c r="O184" s="1279">
        <v>0</v>
      </c>
      <c r="Q184" s="1264">
        <f>M184+O184</f>
        <v>0</v>
      </c>
    </row>
    <row r="185" spans="1:17">
      <c r="C185" s="1131">
        <f>C184+1</f>
        <v>84</v>
      </c>
      <c r="E185" s="1260" t="s">
        <v>1651</v>
      </c>
      <c r="G185" s="1278" t="s">
        <v>979</v>
      </c>
      <c r="I185" s="1275" t="s">
        <v>1678</v>
      </c>
      <c r="K185" s="1279">
        <f>497120</f>
        <v>497120</v>
      </c>
      <c r="M185" s="1279">
        <v>173992</v>
      </c>
      <c r="O185" s="1279">
        <f>-K185/5</f>
        <v>-99424</v>
      </c>
      <c r="Q185" s="1264">
        <f>M185+O185</f>
        <v>74568</v>
      </c>
    </row>
    <row r="186" spans="1:17">
      <c r="C186" s="1131">
        <f>C185+1</f>
        <v>85</v>
      </c>
      <c r="E186" s="1260" t="s">
        <v>1652</v>
      </c>
      <c r="G186" s="1278" t="s">
        <v>979</v>
      </c>
      <c r="I186" s="1275" t="s">
        <v>1678</v>
      </c>
      <c r="K186" s="1279">
        <v>0</v>
      </c>
      <c r="M186" s="1279">
        <v>0</v>
      </c>
      <c r="O186" s="1279">
        <v>0</v>
      </c>
      <c r="Q186" s="1264">
        <f>M186+O186</f>
        <v>0</v>
      </c>
    </row>
    <row r="187" spans="1:17" ht="5.15" customHeight="1">
      <c r="K187" s="1280"/>
      <c r="M187" s="1280"/>
      <c r="O187" s="1280"/>
      <c r="Q187" s="1280"/>
    </row>
    <row r="188" spans="1:17" ht="13">
      <c r="C188" s="1131">
        <f>C186+1</f>
        <v>86</v>
      </c>
      <c r="E188" s="1128" t="s">
        <v>1676</v>
      </c>
      <c r="K188" s="1265">
        <f>SUM(K182:K187)</f>
        <v>497120</v>
      </c>
      <c r="L188" s="1262"/>
      <c r="M188" s="1265">
        <f>SUM(M182:M187)</f>
        <v>173992</v>
      </c>
      <c r="N188" s="1265"/>
      <c r="O188" s="1265">
        <f>SUM(O182:O187)</f>
        <v>-99424</v>
      </c>
      <c r="P188" s="1265"/>
      <c r="Q188" s="1265">
        <f>SUM(Q182:Q187)</f>
        <v>74568</v>
      </c>
    </row>
    <row r="190" spans="1:17" ht="13">
      <c r="A190" s="1273"/>
      <c r="B190" s="1273"/>
      <c r="C190" s="1131">
        <f>C188+1</f>
        <v>87</v>
      </c>
      <c r="D190" s="1273"/>
      <c r="E190" s="1274" t="s">
        <v>1679</v>
      </c>
      <c r="F190" s="1273"/>
      <c r="G190" s="1275"/>
      <c r="H190" s="1273"/>
      <c r="I190" s="1275"/>
      <c r="J190" s="1273"/>
      <c r="K190" s="1276"/>
      <c r="M190" s="1265"/>
      <c r="O190" s="1277"/>
      <c r="Q190" s="1273"/>
    </row>
    <row r="191" spans="1:17" ht="5.15" customHeight="1"/>
    <row r="192" spans="1:17">
      <c r="C192" s="1131">
        <f>C190+1</f>
        <v>88</v>
      </c>
      <c r="E192" s="1260" t="s">
        <v>1650</v>
      </c>
      <c r="G192" s="1278" t="s">
        <v>979</v>
      </c>
      <c r="I192" s="1275" t="s">
        <v>1693</v>
      </c>
      <c r="K192" s="1263">
        <v>0</v>
      </c>
      <c r="M192" s="1263">
        <v>0</v>
      </c>
      <c r="N192" s="1265"/>
      <c r="O192" s="1263">
        <v>0</v>
      </c>
      <c r="P192" s="1265"/>
      <c r="Q192" s="1263">
        <f>M192+O192</f>
        <v>0</v>
      </c>
    </row>
    <row r="193" spans="1:17">
      <c r="C193" s="1131">
        <f>C192+1</f>
        <v>89</v>
      </c>
      <c r="E193" s="1260" t="s">
        <v>1675</v>
      </c>
      <c r="G193" s="1278" t="s">
        <v>979</v>
      </c>
      <c r="I193" s="1275" t="s">
        <v>1693</v>
      </c>
      <c r="K193" s="1279">
        <v>0</v>
      </c>
      <c r="M193" s="1279">
        <v>0</v>
      </c>
      <c r="O193" s="1279">
        <v>0</v>
      </c>
      <c r="Q193" s="1264">
        <f>M193+O193</f>
        <v>0</v>
      </c>
    </row>
    <row r="194" spans="1:17">
      <c r="C194" s="1131">
        <f>C193+1</f>
        <v>90</v>
      </c>
      <c r="E194" s="1260" t="s">
        <v>1651</v>
      </c>
      <c r="G194" s="1278" t="s">
        <v>979</v>
      </c>
      <c r="I194" s="1275" t="s">
        <v>1693</v>
      </c>
      <c r="K194" s="1279">
        <v>0</v>
      </c>
      <c r="M194" s="1279">
        <v>0</v>
      </c>
      <c r="O194" s="1279">
        <v>0</v>
      </c>
      <c r="Q194" s="1264">
        <f>M194+O194</f>
        <v>0</v>
      </c>
    </row>
    <row r="195" spans="1:17">
      <c r="C195" s="1131">
        <f>C194+1</f>
        <v>91</v>
      </c>
      <c r="E195" s="1260" t="s">
        <v>1652</v>
      </c>
      <c r="G195" s="1278" t="s">
        <v>979</v>
      </c>
      <c r="I195" s="1275" t="s">
        <v>1693</v>
      </c>
      <c r="K195" s="1279">
        <v>0</v>
      </c>
      <c r="M195" s="1279">
        <v>0</v>
      </c>
      <c r="O195" s="1279">
        <v>0</v>
      </c>
      <c r="Q195" s="1264">
        <f>M195+O195</f>
        <v>0</v>
      </c>
    </row>
    <row r="196" spans="1:17" ht="5.15" customHeight="1">
      <c r="K196" s="1280"/>
      <c r="M196" s="1280"/>
      <c r="O196" s="1280"/>
      <c r="Q196" s="1280"/>
    </row>
    <row r="197" spans="1:17" ht="13">
      <c r="C197" s="1131">
        <f>C195+1</f>
        <v>92</v>
      </c>
      <c r="E197" s="1128" t="s">
        <v>1676</v>
      </c>
      <c r="K197" s="1265">
        <f>SUM(K191:K196)</f>
        <v>0</v>
      </c>
      <c r="L197" s="1262"/>
      <c r="M197" s="1265">
        <f>SUM(M191:M196)</f>
        <v>0</v>
      </c>
      <c r="N197" s="1262"/>
      <c r="O197" s="1265">
        <f>SUM(O191:O196)</f>
        <v>0</v>
      </c>
      <c r="P197" s="1265"/>
      <c r="Q197" s="1265">
        <f>SUM(Q191:Q196)</f>
        <v>0</v>
      </c>
    </row>
    <row r="199" spans="1:17" ht="13.5" thickBot="1">
      <c r="C199" s="1131">
        <f>C197+1</f>
        <v>93</v>
      </c>
      <c r="E199" s="1128" t="s">
        <v>1681</v>
      </c>
      <c r="K199" s="1281">
        <f>K179+K188+K197</f>
        <v>519218</v>
      </c>
      <c r="L199" s="1265"/>
      <c r="M199" s="1281">
        <f>M179+M188+M197</f>
        <v>178135.5</v>
      </c>
      <c r="N199" s="1265"/>
      <c r="O199" s="1281">
        <f>O179+O188+O197</f>
        <v>-103567.5</v>
      </c>
      <c r="P199" s="1265"/>
      <c r="Q199" s="1281">
        <f>Q179+Q188+Q197</f>
        <v>74568</v>
      </c>
    </row>
    <row r="202" spans="1:17" ht="15.75" customHeight="1">
      <c r="C202" s="1857" t="s">
        <v>1695</v>
      </c>
      <c r="D202" s="1858"/>
      <c r="E202" s="1858"/>
      <c r="F202" s="1858"/>
      <c r="G202" s="1858"/>
      <c r="H202" s="1858"/>
      <c r="I202" s="1858"/>
      <c r="J202" s="1858"/>
      <c r="K202" s="1858"/>
      <c r="L202" s="1858"/>
      <c r="M202" s="1858"/>
      <c r="N202" s="1858"/>
      <c r="O202" s="1858"/>
      <c r="P202" s="1858"/>
      <c r="Q202" s="1859"/>
    </row>
    <row r="204" spans="1:17" ht="13">
      <c r="E204" s="1129" t="s">
        <v>216</v>
      </c>
      <c r="F204" s="1129"/>
      <c r="G204" s="1129" t="s">
        <v>217</v>
      </c>
      <c r="H204" s="1129"/>
      <c r="I204" s="1129" t="s">
        <v>1318</v>
      </c>
      <c r="J204" s="1129"/>
      <c r="K204" s="1129" t="s">
        <v>1566</v>
      </c>
      <c r="L204" s="1129"/>
      <c r="M204" s="1129" t="s">
        <v>1666</v>
      </c>
      <c r="N204" s="1129"/>
      <c r="O204" s="1129" t="s">
        <v>1568</v>
      </c>
      <c r="P204" s="1129"/>
      <c r="Q204" s="1129" t="s">
        <v>1569</v>
      </c>
    </row>
    <row r="205" spans="1:17" ht="15" customHeight="1">
      <c r="C205" s="1846" t="s">
        <v>1576</v>
      </c>
      <c r="D205" s="1360"/>
      <c r="E205" s="1860" t="s">
        <v>1647</v>
      </c>
      <c r="G205" s="1862" t="s">
        <v>380</v>
      </c>
      <c r="I205" s="1862" t="s">
        <v>1667</v>
      </c>
      <c r="K205" s="1269"/>
      <c r="M205" s="1727" t="str">
        <f>M11</f>
        <v>December 31, 2021</v>
      </c>
      <c r="O205" s="1864" t="s">
        <v>1669</v>
      </c>
      <c r="Q205" s="1270" t="str">
        <f>Q11</f>
        <v>December 31, 2022</v>
      </c>
    </row>
    <row r="206" spans="1:17" ht="25">
      <c r="C206" s="1847"/>
      <c r="D206" s="1360"/>
      <c r="E206" s="1861"/>
      <c r="F206" s="1271"/>
      <c r="G206" s="1863"/>
      <c r="H206" s="1271"/>
      <c r="I206" s="1863"/>
      <c r="J206" s="1271"/>
      <c r="K206" s="1272" t="s">
        <v>1670</v>
      </c>
      <c r="M206" s="1362" t="s">
        <v>1671</v>
      </c>
      <c r="O206" s="1865"/>
      <c r="Q206" s="1362" t="s">
        <v>1672</v>
      </c>
    </row>
    <row r="207" spans="1:17" ht="5.15" customHeight="1"/>
    <row r="208" spans="1:17" ht="13">
      <c r="A208" s="1273"/>
      <c r="B208" s="1273"/>
      <c r="C208" s="1131">
        <f>C199+1</f>
        <v>94</v>
      </c>
      <c r="D208" s="1273"/>
      <c r="E208" s="1274" t="s">
        <v>1673</v>
      </c>
      <c r="F208" s="1273"/>
      <c r="G208" s="1275"/>
      <c r="H208" s="1273"/>
      <c r="I208" s="1275"/>
      <c r="J208" s="1273"/>
      <c r="K208" s="1276"/>
      <c r="M208" s="1265"/>
      <c r="O208" s="1277"/>
      <c r="Q208" s="1273"/>
    </row>
    <row r="209" spans="1:17" ht="5.15" customHeight="1">
      <c r="C209" s="1131"/>
    </row>
    <row r="210" spans="1:17">
      <c r="C210" s="1131">
        <f>C208+1</f>
        <v>95</v>
      </c>
      <c r="E210" s="1260" t="s">
        <v>1650</v>
      </c>
      <c r="G210" s="1278" t="s">
        <v>978</v>
      </c>
      <c r="I210" s="1275" t="s">
        <v>1674</v>
      </c>
      <c r="K210" s="1263">
        <v>0</v>
      </c>
      <c r="L210" s="1262"/>
      <c r="M210" s="1263">
        <v>0</v>
      </c>
      <c r="N210" s="1262"/>
      <c r="O210" s="1263">
        <f>-K210/4*(3/12)</f>
        <v>0</v>
      </c>
      <c r="P210" s="1262"/>
      <c r="Q210" s="1263">
        <f>M210+O210</f>
        <v>0</v>
      </c>
    </row>
    <row r="211" spans="1:17">
      <c r="C211" s="1131">
        <f>C210+1</f>
        <v>96</v>
      </c>
      <c r="E211" s="1260" t="s">
        <v>1675</v>
      </c>
      <c r="G211" s="1278" t="s">
        <v>978</v>
      </c>
      <c r="I211" s="1275" t="s">
        <v>1674</v>
      </c>
      <c r="K211" s="1279">
        <v>0</v>
      </c>
      <c r="M211" s="1279">
        <v>0</v>
      </c>
      <c r="O211" s="1279">
        <f>-K211/4</f>
        <v>0</v>
      </c>
      <c r="Q211" s="1264">
        <f>M211+O211</f>
        <v>0</v>
      </c>
    </row>
    <row r="212" spans="1:17">
      <c r="C212" s="1131">
        <f>C211+1</f>
        <v>97</v>
      </c>
      <c r="E212" s="1260" t="s">
        <v>1651</v>
      </c>
      <c r="G212" s="1278" t="s">
        <v>978</v>
      </c>
      <c r="I212" s="1275" t="s">
        <v>1674</v>
      </c>
      <c r="K212" s="1279">
        <v>0</v>
      </c>
      <c r="M212" s="1279">
        <v>0</v>
      </c>
      <c r="O212" s="1279">
        <f>-K212/4</f>
        <v>0</v>
      </c>
      <c r="Q212" s="1264">
        <f>M212+O212</f>
        <v>0</v>
      </c>
    </row>
    <row r="213" spans="1:17">
      <c r="C213" s="1131">
        <f>C212+1</f>
        <v>98</v>
      </c>
      <c r="E213" s="1260" t="s">
        <v>1652</v>
      </c>
      <c r="G213" s="1278" t="s">
        <v>978</v>
      </c>
      <c r="I213" s="1275" t="s">
        <v>1674</v>
      </c>
      <c r="K213" s="1279">
        <v>0</v>
      </c>
      <c r="M213" s="1279">
        <v>0</v>
      </c>
      <c r="O213" s="1279">
        <f>-K213/4</f>
        <v>0</v>
      </c>
      <c r="Q213" s="1264">
        <f>M213+O213</f>
        <v>0</v>
      </c>
    </row>
    <row r="214" spans="1:17" ht="5.15" customHeight="1">
      <c r="K214" s="1280"/>
      <c r="M214" s="1280"/>
      <c r="O214" s="1280"/>
      <c r="Q214" s="1280"/>
    </row>
    <row r="215" spans="1:17" ht="13">
      <c r="C215" s="1131">
        <f>C213+1</f>
        <v>99</v>
      </c>
      <c r="E215" s="1128" t="s">
        <v>1676</v>
      </c>
      <c r="K215" s="1265">
        <f>SUM(K209:K214)</f>
        <v>0</v>
      </c>
      <c r="L215" s="1265"/>
      <c r="M215" s="1265">
        <f>SUM(M209:M214)</f>
        <v>0</v>
      </c>
      <c r="N215" s="1262"/>
      <c r="O215" s="1265">
        <f>SUM(O209:O214)</f>
        <v>0</v>
      </c>
      <c r="P215" s="1265"/>
      <c r="Q215" s="1265">
        <f>SUM(Q209:Q214)</f>
        <v>0</v>
      </c>
    </row>
    <row r="217" spans="1:17" ht="13">
      <c r="A217" s="1273"/>
      <c r="B217" s="1273"/>
      <c r="C217" s="1131">
        <f>C215+1</f>
        <v>100</v>
      </c>
      <c r="D217" s="1273"/>
      <c r="E217" s="1274" t="s">
        <v>1677</v>
      </c>
      <c r="F217" s="1273"/>
      <c r="G217" s="1275"/>
      <c r="H217" s="1273"/>
      <c r="I217" s="1275"/>
      <c r="J217" s="1273"/>
      <c r="K217" s="1276"/>
      <c r="M217" s="1265"/>
      <c r="O217" s="1277"/>
      <c r="Q217" s="1273"/>
    </row>
    <row r="218" spans="1:17" ht="5.15" customHeight="1"/>
    <row r="219" spans="1:17">
      <c r="C219" s="1131">
        <f>C217+1</f>
        <v>101</v>
      </c>
      <c r="E219" s="1260" t="s">
        <v>1650</v>
      </c>
      <c r="G219" s="1278" t="s">
        <v>978</v>
      </c>
      <c r="I219" s="1275" t="s">
        <v>1678</v>
      </c>
      <c r="K219" s="1263">
        <v>0</v>
      </c>
      <c r="L219" s="1262"/>
      <c r="M219" s="1263">
        <v>0</v>
      </c>
      <c r="N219" s="1265"/>
      <c r="O219" s="1263">
        <v>0</v>
      </c>
      <c r="P219" s="1265"/>
      <c r="Q219" s="1263">
        <f>M219+O219</f>
        <v>0</v>
      </c>
    </row>
    <row r="220" spans="1:17">
      <c r="C220" s="1131">
        <f>C219+1</f>
        <v>102</v>
      </c>
      <c r="E220" s="1260" t="s">
        <v>1675</v>
      </c>
      <c r="G220" s="1278" t="s">
        <v>978</v>
      </c>
      <c r="I220" s="1275" t="s">
        <v>1678</v>
      </c>
      <c r="K220" s="1279">
        <v>0</v>
      </c>
      <c r="M220" s="1279">
        <v>0</v>
      </c>
      <c r="O220" s="1279">
        <v>0</v>
      </c>
      <c r="Q220" s="1264">
        <f>M220+O220</f>
        <v>0</v>
      </c>
    </row>
    <row r="221" spans="1:17">
      <c r="C221" s="1131">
        <f>C220+1</f>
        <v>103</v>
      </c>
      <c r="E221" s="1260" t="s">
        <v>1651</v>
      </c>
      <c r="G221" s="1278" t="s">
        <v>978</v>
      </c>
      <c r="I221" s="1275" t="s">
        <v>1678</v>
      </c>
      <c r="K221" s="1279">
        <v>-945116</v>
      </c>
      <c r="M221" s="1279">
        <v>-330790.40000000002</v>
      </c>
      <c r="O221" s="1279">
        <f>-K221/5</f>
        <v>189023.2</v>
      </c>
      <c r="Q221" s="1264">
        <f>M221+O221</f>
        <v>-141767.20000000001</v>
      </c>
    </row>
    <row r="222" spans="1:17">
      <c r="C222" s="1131">
        <f>C221+1</f>
        <v>104</v>
      </c>
      <c r="E222" s="1260" t="s">
        <v>1652</v>
      </c>
      <c r="G222" s="1278" t="s">
        <v>978</v>
      </c>
      <c r="I222" s="1275" t="s">
        <v>1678</v>
      </c>
      <c r="K222" s="1279">
        <v>0</v>
      </c>
      <c r="M222" s="1279">
        <v>0</v>
      </c>
      <c r="O222" s="1279">
        <v>0</v>
      </c>
      <c r="Q222" s="1264">
        <f>M222+O222</f>
        <v>0</v>
      </c>
    </row>
    <row r="223" spans="1:17" ht="5.15" customHeight="1">
      <c r="K223" s="1280"/>
      <c r="M223" s="1280"/>
      <c r="O223" s="1280"/>
      <c r="Q223" s="1280"/>
    </row>
    <row r="224" spans="1:17" ht="13">
      <c r="C224" s="1131">
        <f>C222+1</f>
        <v>105</v>
      </c>
      <c r="E224" s="1128" t="s">
        <v>1676</v>
      </c>
      <c r="K224" s="1265">
        <f>SUM(K218:K223)</f>
        <v>-945116</v>
      </c>
      <c r="L224" s="1262"/>
      <c r="M224" s="1265">
        <f>SUM(M218:M223)</f>
        <v>-330790.40000000002</v>
      </c>
      <c r="N224" s="1265"/>
      <c r="O224" s="1265">
        <f>SUM(O218:O223)</f>
        <v>189023.2</v>
      </c>
      <c r="P224" s="1265"/>
      <c r="Q224" s="1265">
        <f>SUM(Q218:Q223)</f>
        <v>-141767.20000000001</v>
      </c>
    </row>
    <row r="226" spans="1:17" ht="13">
      <c r="A226" s="1273"/>
      <c r="B226" s="1273"/>
      <c r="C226" s="1131">
        <f>C224+1</f>
        <v>106</v>
      </c>
      <c r="D226" s="1273"/>
      <c r="E226" s="1274" t="s">
        <v>1679</v>
      </c>
      <c r="F226" s="1273"/>
      <c r="G226" s="1275"/>
      <c r="H226" s="1273"/>
      <c r="I226" s="1275"/>
      <c r="J226" s="1273"/>
      <c r="K226" s="1276"/>
      <c r="M226" s="1265"/>
      <c r="O226" s="1277"/>
      <c r="Q226" s="1273"/>
    </row>
    <row r="227" spans="1:17" ht="5.15" customHeight="1"/>
    <row r="228" spans="1:17">
      <c r="C228" s="1131">
        <f>C226+1</f>
        <v>107</v>
      </c>
      <c r="E228" s="1260" t="s">
        <v>1650</v>
      </c>
      <c r="G228" s="1278" t="s">
        <v>978</v>
      </c>
      <c r="I228" s="1275" t="s">
        <v>1693</v>
      </c>
      <c r="K228" s="1263">
        <v>0</v>
      </c>
      <c r="M228" s="1263">
        <v>0</v>
      </c>
      <c r="N228" s="1265"/>
      <c r="O228" s="1263">
        <v>0</v>
      </c>
      <c r="P228" s="1265"/>
      <c r="Q228" s="1263">
        <f>M228+O228</f>
        <v>0</v>
      </c>
    </row>
    <row r="229" spans="1:17">
      <c r="C229" s="1131">
        <f>C228+1</f>
        <v>108</v>
      </c>
      <c r="E229" s="1260" t="s">
        <v>1675</v>
      </c>
      <c r="G229" s="1278" t="s">
        <v>978</v>
      </c>
      <c r="I229" s="1275" t="s">
        <v>1693</v>
      </c>
      <c r="K229" s="1279">
        <v>0</v>
      </c>
      <c r="M229" s="1279">
        <v>0</v>
      </c>
      <c r="O229" s="1279">
        <v>0</v>
      </c>
      <c r="Q229" s="1264">
        <f>M229+O229</f>
        <v>0</v>
      </c>
    </row>
    <row r="230" spans="1:17">
      <c r="C230" s="1131">
        <f>C229+1</f>
        <v>109</v>
      </c>
      <c r="E230" s="1260" t="s">
        <v>1651</v>
      </c>
      <c r="G230" s="1278" t="s">
        <v>978</v>
      </c>
      <c r="I230" s="1275" t="s">
        <v>1693</v>
      </c>
      <c r="K230" s="1279">
        <v>0</v>
      </c>
      <c r="M230" s="1279">
        <v>0</v>
      </c>
      <c r="O230" s="1279">
        <v>0</v>
      </c>
      <c r="Q230" s="1264">
        <f>M230+O230</f>
        <v>0</v>
      </c>
    </row>
    <row r="231" spans="1:17">
      <c r="C231" s="1131">
        <f>C230+1</f>
        <v>110</v>
      </c>
      <c r="E231" s="1260" t="s">
        <v>1652</v>
      </c>
      <c r="G231" s="1278" t="s">
        <v>978</v>
      </c>
      <c r="I231" s="1275" t="s">
        <v>1693</v>
      </c>
      <c r="K231" s="1279">
        <v>0</v>
      </c>
      <c r="M231" s="1279">
        <v>0</v>
      </c>
      <c r="O231" s="1279">
        <v>0</v>
      </c>
      <c r="Q231" s="1264">
        <f>M231+O231</f>
        <v>0</v>
      </c>
    </row>
    <row r="232" spans="1:17" ht="5.15" customHeight="1">
      <c r="K232" s="1280"/>
      <c r="M232" s="1280"/>
      <c r="O232" s="1280"/>
      <c r="Q232" s="1280"/>
    </row>
    <row r="233" spans="1:17" ht="13">
      <c r="C233" s="1131">
        <f>C231+1</f>
        <v>111</v>
      </c>
      <c r="E233" s="1128" t="s">
        <v>1676</v>
      </c>
      <c r="K233" s="1265">
        <f>SUM(K227:K232)</f>
        <v>0</v>
      </c>
      <c r="L233" s="1262"/>
      <c r="M233" s="1265">
        <f>SUM(M227:M232)</f>
        <v>0</v>
      </c>
      <c r="N233" s="1262"/>
      <c r="O233" s="1265">
        <f>SUM(O227:O232)</f>
        <v>0</v>
      </c>
      <c r="P233" s="1265"/>
      <c r="Q233" s="1265">
        <f>SUM(Q227:Q232)</f>
        <v>0</v>
      </c>
    </row>
    <row r="235" spans="1:17" ht="13.5" thickBot="1">
      <c r="C235" s="1131">
        <f>C233+1</f>
        <v>112</v>
      </c>
      <c r="E235" s="1128" t="s">
        <v>1681</v>
      </c>
      <c r="K235" s="1281">
        <f>K215+K224+K233</f>
        <v>-945116</v>
      </c>
      <c r="L235" s="1265"/>
      <c r="M235" s="1281">
        <f>M215+M224+M233</f>
        <v>-330790.40000000002</v>
      </c>
      <c r="N235" s="1265"/>
      <c r="O235" s="1281">
        <f>O215+O224+O233</f>
        <v>189023.2</v>
      </c>
      <c r="P235" s="1265"/>
      <c r="Q235" s="1281">
        <f>Q215+Q224+Q233</f>
        <v>-141767.20000000001</v>
      </c>
    </row>
    <row r="238" spans="1:17" ht="15.5">
      <c r="E238" s="1857" t="s">
        <v>1696</v>
      </c>
      <c r="F238" s="1858"/>
      <c r="G238" s="1858"/>
      <c r="H238" s="1858"/>
      <c r="I238" s="1858"/>
      <c r="J238" s="1858"/>
      <c r="K238" s="1858"/>
      <c r="L238" s="1858"/>
      <c r="M238" s="1858"/>
      <c r="N238" s="1858"/>
      <c r="O238" s="1858"/>
      <c r="P238" s="1858"/>
      <c r="Q238" s="1859"/>
    </row>
    <row r="240" spans="1:17" ht="13">
      <c r="E240" s="1129" t="s">
        <v>216</v>
      </c>
      <c r="F240" s="1129"/>
      <c r="G240" s="1129" t="s">
        <v>217</v>
      </c>
      <c r="H240" s="1129"/>
      <c r="I240" s="1129" t="s">
        <v>1318</v>
      </c>
      <c r="J240" s="1129"/>
      <c r="K240" s="1129" t="s">
        <v>1566</v>
      </c>
      <c r="L240" s="1129"/>
      <c r="M240" s="1129" t="s">
        <v>1666</v>
      </c>
      <c r="N240" s="1129"/>
      <c r="O240" s="1129" t="s">
        <v>1568</v>
      </c>
      <c r="P240" s="1129"/>
      <c r="Q240" s="1129" t="s">
        <v>1569</v>
      </c>
    </row>
    <row r="241" spans="1:21" ht="15" customHeight="1">
      <c r="C241" s="1846" t="s">
        <v>1576</v>
      </c>
      <c r="D241" s="1360"/>
      <c r="E241" s="1860" t="s">
        <v>1647</v>
      </c>
      <c r="G241" s="1862" t="s">
        <v>380</v>
      </c>
      <c r="I241" s="1862" t="s">
        <v>1667</v>
      </c>
      <c r="K241" s="1269"/>
      <c r="M241" s="1727" t="str">
        <f>M11</f>
        <v>December 31, 2021</v>
      </c>
      <c r="O241" s="1864" t="s">
        <v>1669</v>
      </c>
      <c r="Q241" s="1270" t="str">
        <f>Q11</f>
        <v>December 31, 2022</v>
      </c>
    </row>
    <row r="242" spans="1:21" ht="25">
      <c r="C242" s="1847"/>
      <c r="D242" s="1360"/>
      <c r="E242" s="1861"/>
      <c r="F242" s="1271"/>
      <c r="G242" s="1863"/>
      <c r="H242" s="1271"/>
      <c r="I242" s="1863"/>
      <c r="J242" s="1271"/>
      <c r="K242" s="1272" t="s">
        <v>1670</v>
      </c>
      <c r="M242" s="1362" t="s">
        <v>1671</v>
      </c>
      <c r="O242" s="1865"/>
      <c r="Q242" s="1362" t="s">
        <v>1672</v>
      </c>
    </row>
    <row r="243" spans="1:21" ht="5.15" customHeight="1"/>
    <row r="244" spans="1:21" ht="13">
      <c r="A244" s="1273"/>
      <c r="B244" s="1273"/>
      <c r="C244" s="1131">
        <f>C235+1</f>
        <v>113</v>
      </c>
      <c r="D244" s="1273"/>
      <c r="E244" s="1274" t="s">
        <v>1673</v>
      </c>
      <c r="F244" s="1273"/>
      <c r="G244" s="1275"/>
      <c r="H244" s="1273"/>
      <c r="I244" s="1275"/>
      <c r="J244" s="1273"/>
      <c r="K244" s="1276"/>
      <c r="M244" s="1265"/>
      <c r="O244" s="1277"/>
      <c r="Q244" s="1273"/>
    </row>
    <row r="245" spans="1:21" ht="5.15" customHeight="1">
      <c r="C245" s="1131"/>
    </row>
    <row r="246" spans="1:21">
      <c r="C246" s="1131">
        <f>C244+1</f>
        <v>114</v>
      </c>
      <c r="E246" s="1260" t="s">
        <v>1650</v>
      </c>
      <c r="G246" s="1278" t="s">
        <v>757</v>
      </c>
      <c r="I246" s="1275" t="s">
        <v>1674</v>
      </c>
      <c r="K246" s="1263">
        <f>56380</f>
        <v>56380</v>
      </c>
      <c r="L246" s="1262"/>
      <c r="M246" s="1263">
        <v>10571.25</v>
      </c>
      <c r="N246" s="1262"/>
      <c r="O246" s="1263">
        <f>-M246</f>
        <v>-10571.25</v>
      </c>
      <c r="P246" s="1262"/>
      <c r="Q246" s="1263">
        <f>M246+O246</f>
        <v>0</v>
      </c>
      <c r="T246" s="1288"/>
      <c r="U246" s="1162"/>
    </row>
    <row r="247" spans="1:21">
      <c r="C247" s="1131">
        <f>C246+1</f>
        <v>115</v>
      </c>
      <c r="E247" s="1260" t="s">
        <v>1675</v>
      </c>
      <c r="G247" s="1278" t="s">
        <v>757</v>
      </c>
      <c r="I247" s="1275" t="s">
        <v>1674</v>
      </c>
      <c r="K247" s="1279">
        <v>0</v>
      </c>
      <c r="M247" s="1279">
        <v>0</v>
      </c>
      <c r="O247" s="1279">
        <f>-K247/4</f>
        <v>0</v>
      </c>
      <c r="Q247" s="1264">
        <f>M247+O247</f>
        <v>0</v>
      </c>
      <c r="T247" s="1288"/>
    </row>
    <row r="248" spans="1:21">
      <c r="C248" s="1131">
        <f>C247+1</f>
        <v>116</v>
      </c>
      <c r="E248" s="1260" t="s">
        <v>1651</v>
      </c>
      <c r="G248" s="1278" t="s">
        <v>757</v>
      </c>
      <c r="I248" s="1275" t="s">
        <v>1674</v>
      </c>
      <c r="K248" s="1279">
        <v>0</v>
      </c>
      <c r="M248" s="1279">
        <v>0</v>
      </c>
      <c r="O248" s="1279">
        <f>-K248/4</f>
        <v>0</v>
      </c>
      <c r="Q248" s="1264">
        <f>M248+O248</f>
        <v>0</v>
      </c>
      <c r="T248" s="1288"/>
    </row>
    <row r="249" spans="1:21">
      <c r="C249" s="1131">
        <f>C248+1</f>
        <v>117</v>
      </c>
      <c r="E249" s="1260" t="s">
        <v>1652</v>
      </c>
      <c r="G249" s="1278" t="s">
        <v>757</v>
      </c>
      <c r="I249" s="1275" t="s">
        <v>1674</v>
      </c>
      <c r="K249" s="1279">
        <v>0</v>
      </c>
      <c r="M249" s="1279">
        <v>0</v>
      </c>
      <c r="O249" s="1279">
        <f>-K249/4</f>
        <v>0</v>
      </c>
      <c r="Q249" s="1264">
        <f>M249+O249</f>
        <v>0</v>
      </c>
      <c r="T249" s="1288"/>
    </row>
    <row r="250" spans="1:21" ht="5.15" customHeight="1">
      <c r="K250" s="1280"/>
      <c r="M250" s="1280"/>
      <c r="O250" s="1280"/>
      <c r="Q250" s="1280"/>
      <c r="T250" s="1288"/>
    </row>
    <row r="251" spans="1:21" ht="13">
      <c r="C251" s="1131">
        <f>C249+1</f>
        <v>118</v>
      </c>
      <c r="E251" s="1128" t="s">
        <v>1676</v>
      </c>
      <c r="K251" s="1265">
        <f>SUM(K245:K250)</f>
        <v>56380</v>
      </c>
      <c r="L251" s="1265"/>
      <c r="M251" s="1265">
        <f>SUM(M245:M250)</f>
        <v>10571.25</v>
      </c>
      <c r="N251" s="1262"/>
      <c r="O251" s="1265">
        <f>SUM(O245:O250)</f>
        <v>-10571.25</v>
      </c>
      <c r="P251" s="1265"/>
      <c r="Q251" s="1265">
        <f>SUM(Q245:Q250)</f>
        <v>0</v>
      </c>
      <c r="T251" s="1288"/>
    </row>
    <row r="252" spans="1:21">
      <c r="T252" s="1288"/>
    </row>
    <row r="253" spans="1:21" ht="13">
      <c r="A253" s="1273"/>
      <c r="B253" s="1273"/>
      <c r="C253" s="1131">
        <f>C251+1</f>
        <v>119</v>
      </c>
      <c r="D253" s="1273"/>
      <c r="E253" s="1274" t="s">
        <v>1677</v>
      </c>
      <c r="F253" s="1273"/>
      <c r="G253" s="1275"/>
      <c r="H253" s="1273"/>
      <c r="I253" s="1275"/>
      <c r="J253" s="1273"/>
      <c r="K253" s="1276"/>
      <c r="M253" s="1265"/>
      <c r="O253" s="1277"/>
      <c r="Q253" s="1273"/>
      <c r="T253" s="1288"/>
    </row>
    <row r="254" spans="1:21" ht="5.15" customHeight="1">
      <c r="T254" s="1288"/>
    </row>
    <row r="255" spans="1:21">
      <c r="C255" s="1131">
        <f>C253+1</f>
        <v>120</v>
      </c>
      <c r="E255" s="1260" t="s">
        <v>1650</v>
      </c>
      <c r="G255" s="1278" t="s">
        <v>757</v>
      </c>
      <c r="I255" s="1275" t="s">
        <v>1678</v>
      </c>
      <c r="K255" s="1263">
        <v>0</v>
      </c>
      <c r="L255" s="1262"/>
      <c r="M255" s="1263">
        <v>0</v>
      </c>
      <c r="N255" s="1265"/>
      <c r="O255" s="1263">
        <v>0</v>
      </c>
      <c r="P255" s="1265"/>
      <c r="Q255" s="1263">
        <f>M255+O255</f>
        <v>0</v>
      </c>
      <c r="T255" s="1288"/>
    </row>
    <row r="256" spans="1:21">
      <c r="C256" s="1131">
        <f>C255+1</f>
        <v>121</v>
      </c>
      <c r="E256" s="1260" t="s">
        <v>1675</v>
      </c>
      <c r="G256" s="1278" t="s">
        <v>757</v>
      </c>
      <c r="I256" s="1275" t="s">
        <v>1678</v>
      </c>
      <c r="K256" s="1279">
        <v>0</v>
      </c>
      <c r="M256" s="1279">
        <v>0</v>
      </c>
      <c r="O256" s="1279">
        <v>0</v>
      </c>
      <c r="Q256" s="1264">
        <f>M256+O256</f>
        <v>0</v>
      </c>
      <c r="T256" s="1288"/>
    </row>
    <row r="257" spans="1:21">
      <c r="C257" s="1131">
        <f>C256+1</f>
        <v>122</v>
      </c>
      <c r="E257" s="1260" t="s">
        <v>1651</v>
      </c>
      <c r="G257" s="1278" t="s">
        <v>757</v>
      </c>
      <c r="I257" s="1275" t="s">
        <v>1678</v>
      </c>
      <c r="K257" s="1279">
        <f>-630682</f>
        <v>-630682</v>
      </c>
      <c r="M257" s="1279">
        <v>-220738.69999999998</v>
      </c>
      <c r="O257" s="1279">
        <f>-K257/5</f>
        <v>126136.4</v>
      </c>
      <c r="Q257" s="1264">
        <f>M257+O257</f>
        <v>-94602.299999999988</v>
      </c>
      <c r="T257" s="1288"/>
      <c r="U257" s="1162"/>
    </row>
    <row r="258" spans="1:21">
      <c r="C258" s="1131">
        <f>C257+1</f>
        <v>123</v>
      </c>
      <c r="E258" s="1260" t="s">
        <v>1652</v>
      </c>
      <c r="G258" s="1278" t="s">
        <v>757</v>
      </c>
      <c r="I258" s="1275" t="s">
        <v>1678</v>
      </c>
      <c r="K258" s="1279">
        <v>0</v>
      </c>
      <c r="M258" s="1279">
        <v>0</v>
      </c>
      <c r="O258" s="1279">
        <v>0</v>
      </c>
      <c r="Q258" s="1264">
        <f>M258+O258</f>
        <v>0</v>
      </c>
    </row>
    <row r="259" spans="1:21" ht="5.15" customHeight="1">
      <c r="K259" s="1280"/>
      <c r="M259" s="1280"/>
      <c r="O259" s="1280"/>
      <c r="Q259" s="1280"/>
    </row>
    <row r="260" spans="1:21" ht="13">
      <c r="C260" s="1131">
        <f>C258+1</f>
        <v>124</v>
      </c>
      <c r="E260" s="1128" t="s">
        <v>1676</v>
      </c>
      <c r="K260" s="1265">
        <f>SUM(K254:K259)</f>
        <v>-630682</v>
      </c>
      <c r="L260" s="1262"/>
      <c r="M260" s="1265">
        <f>SUM(M254:M259)</f>
        <v>-220738.69999999998</v>
      </c>
      <c r="N260" s="1265"/>
      <c r="O260" s="1265">
        <f>SUM(O254:O259)</f>
        <v>126136.4</v>
      </c>
      <c r="P260" s="1265"/>
      <c r="Q260" s="1265">
        <f>SUM(Q254:Q259)</f>
        <v>-94602.299999999988</v>
      </c>
    </row>
    <row r="262" spans="1:21" ht="13">
      <c r="A262" s="1273"/>
      <c r="B262" s="1273"/>
      <c r="C262" s="1131">
        <f>C260+1</f>
        <v>125</v>
      </c>
      <c r="D262" s="1273"/>
      <c r="E262" s="1274" t="s">
        <v>1679</v>
      </c>
      <c r="F262" s="1273"/>
      <c r="G262" s="1275"/>
      <c r="H262" s="1273"/>
      <c r="I262" s="1275"/>
      <c r="J262" s="1273"/>
      <c r="K262" s="1276"/>
      <c r="M262" s="1265"/>
      <c r="O262" s="1277"/>
      <c r="Q262" s="1273"/>
    </row>
    <row r="263" spans="1:21" ht="5.15" customHeight="1"/>
    <row r="264" spans="1:21">
      <c r="C264" s="1131">
        <f>C262+1</f>
        <v>126</v>
      </c>
      <c r="E264" s="1260" t="s">
        <v>1650</v>
      </c>
      <c r="G264" s="1278" t="s">
        <v>757</v>
      </c>
      <c r="I264" s="1275" t="s">
        <v>1693</v>
      </c>
      <c r="K264" s="1263">
        <v>0</v>
      </c>
      <c r="M264" s="1279">
        <v>0</v>
      </c>
      <c r="O264" s="1279">
        <v>0</v>
      </c>
      <c r="Q264" s="1264">
        <f>M264+O264</f>
        <v>0</v>
      </c>
    </row>
    <row r="265" spans="1:21">
      <c r="C265" s="1131">
        <f>C264+1</f>
        <v>127</v>
      </c>
      <c r="E265" s="1260" t="s">
        <v>1675</v>
      </c>
      <c r="G265" s="1278" t="s">
        <v>757</v>
      </c>
      <c r="I265" s="1275" t="s">
        <v>1693</v>
      </c>
      <c r="K265" s="1279">
        <v>0</v>
      </c>
      <c r="M265" s="1279">
        <v>0</v>
      </c>
      <c r="O265" s="1279">
        <v>0</v>
      </c>
      <c r="Q265" s="1264">
        <f>M265+O265</f>
        <v>0</v>
      </c>
    </row>
    <row r="266" spans="1:21">
      <c r="C266" s="1131">
        <f>C265+1</f>
        <v>128</v>
      </c>
      <c r="E266" s="1260" t="s">
        <v>1651</v>
      </c>
      <c r="G266" s="1278" t="s">
        <v>757</v>
      </c>
      <c r="I266" s="1275" t="s">
        <v>1693</v>
      </c>
      <c r="K266" s="1279">
        <v>0</v>
      </c>
      <c r="M266" s="1279">
        <v>0</v>
      </c>
      <c r="O266" s="1279">
        <v>0</v>
      </c>
      <c r="Q266" s="1264">
        <f>M266+O266</f>
        <v>0</v>
      </c>
    </row>
    <row r="267" spans="1:21">
      <c r="C267" s="1131">
        <f>C266+1</f>
        <v>129</v>
      </c>
      <c r="E267" s="1260" t="s">
        <v>1652</v>
      </c>
      <c r="G267" s="1278" t="s">
        <v>757</v>
      </c>
      <c r="I267" s="1275" t="s">
        <v>1693</v>
      </c>
      <c r="K267" s="1279">
        <v>0</v>
      </c>
      <c r="M267" s="1279">
        <v>0</v>
      </c>
      <c r="O267" s="1279">
        <v>0</v>
      </c>
      <c r="Q267" s="1264">
        <f>M267+O267</f>
        <v>0</v>
      </c>
    </row>
    <row r="268" spans="1:21" ht="5.15" customHeight="1">
      <c r="K268" s="1280"/>
      <c r="M268" s="1280"/>
      <c r="O268" s="1280"/>
      <c r="Q268" s="1280"/>
    </row>
    <row r="269" spans="1:21" ht="13">
      <c r="C269" s="1131">
        <f>C267+1</f>
        <v>130</v>
      </c>
      <c r="E269" s="1128" t="s">
        <v>1676</v>
      </c>
      <c r="K269" s="1265">
        <f>SUM(K263:K268)</f>
        <v>0</v>
      </c>
      <c r="L269" s="1262"/>
      <c r="M269" s="1265">
        <f>SUM(M263:M268)</f>
        <v>0</v>
      </c>
      <c r="N269" s="1262"/>
      <c r="O269" s="1265">
        <f>SUM(O263:O268)</f>
        <v>0</v>
      </c>
      <c r="P269" s="1265"/>
      <c r="Q269" s="1265">
        <f>SUM(Q263:Q268)</f>
        <v>0</v>
      </c>
    </row>
    <row r="271" spans="1:21" ht="13.5" thickBot="1">
      <c r="C271" s="1131">
        <f>C269+1</f>
        <v>131</v>
      </c>
      <c r="E271" s="1128" t="s">
        <v>1681</v>
      </c>
      <c r="K271" s="1281">
        <f>K251+K260+K269</f>
        <v>-574302</v>
      </c>
      <c r="L271" s="1265"/>
      <c r="M271" s="1281">
        <f>M251+M260+M269</f>
        <v>-210167.44999999998</v>
      </c>
      <c r="N271" s="1265"/>
      <c r="O271" s="1281">
        <f>O251+O260+O269</f>
        <v>115565.15</v>
      </c>
      <c r="P271" s="1265"/>
      <c r="Q271" s="1281">
        <f>Q251+Q260+Q269</f>
        <v>-94602.299999999988</v>
      </c>
    </row>
    <row r="274" spans="1:21" ht="15.5">
      <c r="E274" s="1857" t="s">
        <v>1697</v>
      </c>
      <c r="F274" s="1858"/>
      <c r="G274" s="1858"/>
      <c r="H274" s="1858"/>
      <c r="I274" s="1858"/>
      <c r="J274" s="1858"/>
      <c r="K274" s="1858"/>
      <c r="L274" s="1858"/>
      <c r="M274" s="1858"/>
      <c r="N274" s="1858"/>
      <c r="O274" s="1858"/>
      <c r="P274" s="1858"/>
      <c r="Q274" s="1859"/>
    </row>
    <row r="276" spans="1:21" ht="13">
      <c r="E276" s="1129" t="s">
        <v>216</v>
      </c>
      <c r="F276" s="1129"/>
      <c r="G276" s="1129" t="s">
        <v>217</v>
      </c>
      <c r="H276" s="1129"/>
      <c r="I276" s="1129" t="s">
        <v>1318</v>
      </c>
      <c r="J276" s="1129"/>
      <c r="K276" s="1129" t="s">
        <v>1566</v>
      </c>
      <c r="L276" s="1129"/>
      <c r="M276" s="1129" t="s">
        <v>1666</v>
      </c>
      <c r="N276" s="1129"/>
      <c r="O276" s="1129" t="s">
        <v>1568</v>
      </c>
      <c r="P276" s="1129"/>
      <c r="Q276" s="1129" t="s">
        <v>1569</v>
      </c>
    </row>
    <row r="277" spans="1:21" ht="15" customHeight="1">
      <c r="C277" s="1846" t="s">
        <v>1576</v>
      </c>
      <c r="D277" s="1360"/>
      <c r="E277" s="1860" t="s">
        <v>1647</v>
      </c>
      <c r="G277" s="1862" t="s">
        <v>380</v>
      </c>
      <c r="I277" s="1862" t="s">
        <v>1667</v>
      </c>
      <c r="K277" s="1269"/>
      <c r="M277" s="1727" t="str">
        <f>M11</f>
        <v>December 31, 2021</v>
      </c>
      <c r="O277" s="1864" t="s">
        <v>1669</v>
      </c>
      <c r="Q277" s="1270" t="str">
        <f>Q11</f>
        <v>December 31, 2022</v>
      </c>
    </row>
    <row r="278" spans="1:21" ht="25">
      <c r="C278" s="1847"/>
      <c r="D278" s="1360"/>
      <c r="E278" s="1861"/>
      <c r="F278" s="1271"/>
      <c r="G278" s="1863"/>
      <c r="H278" s="1271"/>
      <c r="I278" s="1863"/>
      <c r="J278" s="1271"/>
      <c r="K278" s="1272" t="s">
        <v>1670</v>
      </c>
      <c r="M278" s="1362" t="s">
        <v>1671</v>
      </c>
      <c r="O278" s="1865"/>
      <c r="Q278" s="1362" t="s">
        <v>1672</v>
      </c>
    </row>
    <row r="279" spans="1:21" ht="5.15" customHeight="1"/>
    <row r="280" spans="1:21" ht="13">
      <c r="A280" s="1273"/>
      <c r="B280" s="1273"/>
      <c r="C280" s="1131">
        <f>C271+1</f>
        <v>132</v>
      </c>
      <c r="D280" s="1273"/>
      <c r="E280" s="1274" t="s">
        <v>1673</v>
      </c>
      <c r="F280" s="1273"/>
      <c r="G280" s="1275"/>
      <c r="H280" s="1273"/>
      <c r="I280" s="1275"/>
      <c r="J280" s="1273"/>
      <c r="K280" s="1276"/>
      <c r="M280" s="1265"/>
      <c r="O280" s="1277"/>
      <c r="Q280" s="1273"/>
    </row>
    <row r="281" spans="1:21" ht="5.15" customHeight="1">
      <c r="C281" s="1131"/>
    </row>
    <row r="282" spans="1:21">
      <c r="C282" s="1131">
        <f>C280+1</f>
        <v>133</v>
      </c>
      <c r="E282" s="1260" t="s">
        <v>1650</v>
      </c>
      <c r="G282" s="1278" t="s">
        <v>981</v>
      </c>
      <c r="I282" s="1275" t="s">
        <v>1674</v>
      </c>
      <c r="K282" s="1263">
        <f>-685034</f>
        <v>-685034</v>
      </c>
      <c r="L282" s="1262"/>
      <c r="M282" s="1263">
        <v>-128443.875</v>
      </c>
      <c r="N282" s="1262"/>
      <c r="O282" s="1263">
        <f>-M282</f>
        <v>128443.875</v>
      </c>
      <c r="P282" s="1262"/>
      <c r="Q282" s="1263">
        <f>M282+O282</f>
        <v>0</v>
      </c>
      <c r="T282" s="1288"/>
      <c r="U282" s="1162"/>
    </row>
    <row r="283" spans="1:21">
      <c r="C283" s="1131">
        <f>C282+1</f>
        <v>134</v>
      </c>
      <c r="E283" s="1260" t="s">
        <v>1675</v>
      </c>
      <c r="G283" s="1278" t="s">
        <v>981</v>
      </c>
      <c r="I283" s="1275" t="s">
        <v>1674</v>
      </c>
      <c r="K283" s="1279">
        <v>0</v>
      </c>
      <c r="M283" s="1279">
        <v>0</v>
      </c>
      <c r="O283" s="1279">
        <f>-K283/4</f>
        <v>0</v>
      </c>
      <c r="Q283" s="1264">
        <f>M283+O283</f>
        <v>0</v>
      </c>
      <c r="T283" s="1288"/>
    </row>
    <row r="284" spans="1:21">
      <c r="C284" s="1131">
        <f>C283+1</f>
        <v>135</v>
      </c>
      <c r="E284" s="1260" t="s">
        <v>1651</v>
      </c>
      <c r="G284" s="1278" t="s">
        <v>981</v>
      </c>
      <c r="I284" s="1275" t="s">
        <v>1674</v>
      </c>
      <c r="K284" s="1279">
        <v>0</v>
      </c>
      <c r="M284" s="1279">
        <v>0</v>
      </c>
      <c r="O284" s="1279">
        <f>-K284/4</f>
        <v>0</v>
      </c>
      <c r="Q284" s="1264">
        <f>M284+O284</f>
        <v>0</v>
      </c>
      <c r="T284" s="1288"/>
    </row>
    <row r="285" spans="1:21">
      <c r="C285" s="1131">
        <f>C284+1</f>
        <v>136</v>
      </c>
      <c r="E285" s="1260" t="s">
        <v>1652</v>
      </c>
      <c r="G285" s="1278" t="s">
        <v>981</v>
      </c>
      <c r="I285" s="1275" t="s">
        <v>1674</v>
      </c>
      <c r="K285" s="1279">
        <v>0</v>
      </c>
      <c r="M285" s="1279">
        <v>0</v>
      </c>
      <c r="O285" s="1279">
        <f>-K285/4</f>
        <v>0</v>
      </c>
      <c r="Q285" s="1264">
        <f>M285+O285</f>
        <v>0</v>
      </c>
      <c r="T285" s="1288"/>
    </row>
    <row r="286" spans="1:21" ht="5.15" customHeight="1">
      <c r="K286" s="1280"/>
      <c r="M286" s="1280"/>
      <c r="O286" s="1280"/>
      <c r="Q286" s="1280"/>
      <c r="T286" s="1288"/>
    </row>
    <row r="287" spans="1:21" ht="13">
      <c r="C287" s="1131">
        <f>C285+1</f>
        <v>137</v>
      </c>
      <c r="E287" s="1128" t="s">
        <v>1676</v>
      </c>
      <c r="K287" s="1265">
        <f>SUM(K281:K286)</f>
        <v>-685034</v>
      </c>
      <c r="L287" s="1265"/>
      <c r="M287" s="1265">
        <f>SUM(M281:M286)</f>
        <v>-128443.875</v>
      </c>
      <c r="N287" s="1262"/>
      <c r="O287" s="1265">
        <f>SUM(O281:O286)</f>
        <v>128443.875</v>
      </c>
      <c r="P287" s="1265"/>
      <c r="Q287" s="1265">
        <f>SUM(Q281:Q286)</f>
        <v>0</v>
      </c>
      <c r="T287" s="1288"/>
    </row>
    <row r="288" spans="1:21">
      <c r="T288" s="1288"/>
    </row>
    <row r="289" spans="1:21" ht="13">
      <c r="A289" s="1273"/>
      <c r="B289" s="1273"/>
      <c r="C289" s="1131">
        <f>C287+1</f>
        <v>138</v>
      </c>
      <c r="D289" s="1273"/>
      <c r="E289" s="1274" t="s">
        <v>1677</v>
      </c>
      <c r="F289" s="1273"/>
      <c r="G289" s="1275"/>
      <c r="H289" s="1273"/>
      <c r="I289" s="1275"/>
      <c r="J289" s="1273"/>
      <c r="K289" s="1276"/>
      <c r="M289" s="1265"/>
      <c r="O289" s="1277"/>
      <c r="Q289" s="1273"/>
      <c r="T289" s="1288"/>
    </row>
    <row r="290" spans="1:21" ht="5.15" customHeight="1">
      <c r="T290" s="1288"/>
    </row>
    <row r="291" spans="1:21">
      <c r="C291" s="1131">
        <f>C289+1</f>
        <v>139</v>
      </c>
      <c r="E291" s="1260" t="s">
        <v>1650</v>
      </c>
      <c r="G291" s="1278" t="s">
        <v>981</v>
      </c>
      <c r="I291" s="1275" t="s">
        <v>1678</v>
      </c>
      <c r="K291" s="1263">
        <v>0</v>
      </c>
      <c r="L291" s="1262"/>
      <c r="M291" s="1263">
        <v>0</v>
      </c>
      <c r="N291" s="1265"/>
      <c r="O291" s="1263">
        <v>0</v>
      </c>
      <c r="P291" s="1265"/>
      <c r="Q291" s="1263">
        <f>M291+O291</f>
        <v>0</v>
      </c>
      <c r="T291" s="1288"/>
    </row>
    <row r="292" spans="1:21">
      <c r="C292" s="1131">
        <f>C291+1</f>
        <v>140</v>
      </c>
      <c r="E292" s="1260" t="s">
        <v>1675</v>
      </c>
      <c r="G292" s="1278" t="s">
        <v>981</v>
      </c>
      <c r="I292" s="1275" t="s">
        <v>1678</v>
      </c>
      <c r="K292" s="1279">
        <v>0</v>
      </c>
      <c r="M292" s="1279">
        <v>0</v>
      </c>
      <c r="O292" s="1279">
        <v>0</v>
      </c>
      <c r="Q292" s="1264">
        <f>M292+O292</f>
        <v>0</v>
      </c>
      <c r="T292" s="1288"/>
    </row>
    <row r="293" spans="1:21">
      <c r="C293" s="1131">
        <f>C292+1</f>
        <v>141</v>
      </c>
      <c r="E293" s="1260" t="s">
        <v>1651</v>
      </c>
      <c r="G293" s="1278" t="s">
        <v>981</v>
      </c>
      <c r="I293" s="1275" t="s">
        <v>1678</v>
      </c>
      <c r="K293" s="1279">
        <f>-2817585</f>
        <v>-2817585</v>
      </c>
      <c r="M293" s="1279">
        <v>-986154.75</v>
      </c>
      <c r="O293" s="1279">
        <f>-K293/5</f>
        <v>563517</v>
      </c>
      <c r="Q293" s="1264">
        <f>M293+O293</f>
        <v>-422637.75</v>
      </c>
      <c r="T293" s="1288"/>
      <c r="U293" s="1162"/>
    </row>
    <row r="294" spans="1:21">
      <c r="C294" s="1131">
        <f>C293+1</f>
        <v>142</v>
      </c>
      <c r="E294" s="1260" t="s">
        <v>1652</v>
      </c>
      <c r="G294" s="1278" t="s">
        <v>981</v>
      </c>
      <c r="I294" s="1275" t="s">
        <v>1678</v>
      </c>
      <c r="K294" s="1279">
        <v>0</v>
      </c>
      <c r="M294" s="1279">
        <v>0</v>
      </c>
      <c r="O294" s="1279">
        <v>0</v>
      </c>
      <c r="Q294" s="1264">
        <f>M294+O294</f>
        <v>0</v>
      </c>
    </row>
    <row r="295" spans="1:21" ht="5.15" customHeight="1">
      <c r="K295" s="1280"/>
      <c r="M295" s="1280"/>
      <c r="O295" s="1280"/>
      <c r="Q295" s="1280"/>
    </row>
    <row r="296" spans="1:21" ht="13">
      <c r="C296" s="1131">
        <f>C294+1</f>
        <v>143</v>
      </c>
      <c r="E296" s="1128" t="s">
        <v>1676</v>
      </c>
      <c r="K296" s="1265">
        <f>SUM(K290:K295)</f>
        <v>-2817585</v>
      </c>
      <c r="L296" s="1262"/>
      <c r="M296" s="1265">
        <f>SUM(M290:M295)</f>
        <v>-986154.75</v>
      </c>
      <c r="N296" s="1265"/>
      <c r="O296" s="1265">
        <f>SUM(O290:O295)</f>
        <v>563517</v>
      </c>
      <c r="P296" s="1265"/>
      <c r="Q296" s="1265">
        <f>SUM(Q290:Q295)</f>
        <v>-422637.75</v>
      </c>
    </row>
    <row r="298" spans="1:21" ht="13">
      <c r="A298" s="1273"/>
      <c r="B298" s="1273"/>
      <c r="C298" s="1131">
        <f>C296+1</f>
        <v>144</v>
      </c>
      <c r="D298" s="1273"/>
      <c r="E298" s="1274" t="s">
        <v>1679</v>
      </c>
      <c r="F298" s="1273"/>
      <c r="G298" s="1275"/>
      <c r="H298" s="1273"/>
      <c r="I298" s="1275"/>
      <c r="J298" s="1273"/>
      <c r="K298" s="1276"/>
      <c r="M298" s="1265"/>
      <c r="O298" s="1277"/>
      <c r="Q298" s="1273"/>
    </row>
    <row r="299" spans="1:21" ht="5.15" customHeight="1"/>
    <row r="300" spans="1:21">
      <c r="C300" s="1131">
        <f>C298+1</f>
        <v>145</v>
      </c>
      <c r="E300" s="1260" t="s">
        <v>1650</v>
      </c>
      <c r="G300" s="1278" t="s">
        <v>981</v>
      </c>
      <c r="I300" s="1275" t="s">
        <v>1693</v>
      </c>
      <c r="K300" s="1263">
        <v>0</v>
      </c>
      <c r="M300" s="1263">
        <v>0</v>
      </c>
      <c r="N300" s="1265"/>
      <c r="O300" s="1263">
        <v>0</v>
      </c>
      <c r="P300" s="1265"/>
      <c r="Q300" s="1263">
        <f>M300+O300</f>
        <v>0</v>
      </c>
    </row>
    <row r="301" spans="1:21">
      <c r="C301" s="1131">
        <f>C300+1</f>
        <v>146</v>
      </c>
      <c r="E301" s="1260" t="s">
        <v>1675</v>
      </c>
      <c r="G301" s="1278" t="s">
        <v>981</v>
      </c>
      <c r="I301" s="1275" t="s">
        <v>1693</v>
      </c>
      <c r="K301" s="1279">
        <v>0</v>
      </c>
      <c r="M301" s="1279">
        <v>0</v>
      </c>
      <c r="O301" s="1279">
        <v>0</v>
      </c>
      <c r="Q301" s="1264">
        <f>M301+O301</f>
        <v>0</v>
      </c>
    </row>
    <row r="302" spans="1:21">
      <c r="C302" s="1131">
        <f>C301+1</f>
        <v>147</v>
      </c>
      <c r="E302" s="1260" t="s">
        <v>1651</v>
      </c>
      <c r="G302" s="1278" t="s">
        <v>981</v>
      </c>
      <c r="I302" s="1275" t="s">
        <v>1693</v>
      </c>
      <c r="K302" s="1279">
        <v>0</v>
      </c>
      <c r="M302" s="1279">
        <v>0</v>
      </c>
      <c r="O302" s="1279">
        <v>0</v>
      </c>
      <c r="Q302" s="1264">
        <f>M302+O302</f>
        <v>0</v>
      </c>
    </row>
    <row r="303" spans="1:21">
      <c r="C303" s="1131">
        <f>C302+1</f>
        <v>148</v>
      </c>
      <c r="E303" s="1260" t="s">
        <v>1652</v>
      </c>
      <c r="G303" s="1278" t="s">
        <v>981</v>
      </c>
      <c r="I303" s="1275" t="s">
        <v>1693</v>
      </c>
      <c r="K303" s="1279">
        <v>0</v>
      </c>
      <c r="M303" s="1279">
        <v>0</v>
      </c>
      <c r="O303" s="1279">
        <v>0</v>
      </c>
      <c r="Q303" s="1264">
        <f>M303+O303</f>
        <v>0</v>
      </c>
    </row>
    <row r="304" spans="1:21" ht="5.15" customHeight="1">
      <c r="K304" s="1280"/>
      <c r="M304" s="1280"/>
      <c r="O304" s="1280"/>
      <c r="Q304" s="1280"/>
    </row>
    <row r="305" spans="1:17" ht="13">
      <c r="C305" s="1131">
        <f>C303+1</f>
        <v>149</v>
      </c>
      <c r="E305" s="1128" t="s">
        <v>1676</v>
      </c>
      <c r="K305" s="1265">
        <f>SUM(K299:K304)</f>
        <v>0</v>
      </c>
      <c r="L305" s="1262"/>
      <c r="M305" s="1265">
        <f>SUM(M299:M304)</f>
        <v>0</v>
      </c>
      <c r="N305" s="1262"/>
      <c r="O305" s="1265">
        <f>SUM(O299:O304)</f>
        <v>0</v>
      </c>
      <c r="P305" s="1265"/>
      <c r="Q305" s="1265">
        <f>SUM(Q299:Q304)</f>
        <v>0</v>
      </c>
    </row>
    <row r="307" spans="1:17" ht="13.5" thickBot="1">
      <c r="C307" s="1131">
        <f>C305+1</f>
        <v>150</v>
      </c>
      <c r="E307" s="1128" t="s">
        <v>1681</v>
      </c>
      <c r="K307" s="1281">
        <f>K287+K296+K305</f>
        <v>-3502619</v>
      </c>
      <c r="L307" s="1265"/>
      <c r="M307" s="1281">
        <f>M287+M296+M305</f>
        <v>-1114598.625</v>
      </c>
      <c r="N307" s="1265"/>
      <c r="O307" s="1281">
        <f>O287+O296+O305</f>
        <v>691960.875</v>
      </c>
      <c r="P307" s="1265"/>
      <c r="Q307" s="1281">
        <f>Q287+Q296+Q305</f>
        <v>-422637.75</v>
      </c>
    </row>
    <row r="310" spans="1:17" ht="15.5">
      <c r="E310" s="1857" t="s">
        <v>1698</v>
      </c>
      <c r="F310" s="1858"/>
      <c r="G310" s="1858"/>
      <c r="H310" s="1858"/>
      <c r="I310" s="1858"/>
      <c r="J310" s="1858"/>
      <c r="K310" s="1858"/>
      <c r="L310" s="1858"/>
      <c r="M310" s="1858"/>
      <c r="N310" s="1858"/>
      <c r="O310" s="1858"/>
      <c r="P310" s="1858"/>
      <c r="Q310" s="1859"/>
    </row>
    <row r="312" spans="1:17" ht="13">
      <c r="E312" s="1129" t="s">
        <v>216</v>
      </c>
      <c r="F312" s="1129"/>
      <c r="G312" s="1129" t="s">
        <v>217</v>
      </c>
      <c r="H312" s="1129"/>
      <c r="I312" s="1129" t="s">
        <v>1318</v>
      </c>
      <c r="J312" s="1129"/>
      <c r="K312" s="1129" t="s">
        <v>1566</v>
      </c>
      <c r="L312" s="1129"/>
      <c r="M312" s="1129" t="s">
        <v>1666</v>
      </c>
      <c r="N312" s="1129"/>
      <c r="O312" s="1129" t="s">
        <v>1568</v>
      </c>
      <c r="P312" s="1129"/>
      <c r="Q312" s="1129" t="s">
        <v>1569</v>
      </c>
    </row>
    <row r="313" spans="1:17" ht="15" customHeight="1">
      <c r="C313" s="1846" t="s">
        <v>1576</v>
      </c>
      <c r="D313" s="1360"/>
      <c r="E313" s="1860" t="s">
        <v>1647</v>
      </c>
      <c r="G313" s="1862" t="s">
        <v>380</v>
      </c>
      <c r="I313" s="1862" t="s">
        <v>1667</v>
      </c>
      <c r="K313" s="1269"/>
      <c r="M313" s="1727" t="str">
        <f>M11</f>
        <v>December 31, 2021</v>
      </c>
      <c r="O313" s="1864" t="s">
        <v>1669</v>
      </c>
      <c r="Q313" s="1270" t="str">
        <f>Q11</f>
        <v>December 31, 2022</v>
      </c>
    </row>
    <row r="314" spans="1:17" ht="25">
      <c r="C314" s="1847"/>
      <c r="D314" s="1360"/>
      <c r="E314" s="1861"/>
      <c r="F314" s="1271"/>
      <c r="G314" s="1863"/>
      <c r="H314" s="1271"/>
      <c r="I314" s="1863"/>
      <c r="J314" s="1271"/>
      <c r="K314" s="1272" t="s">
        <v>1670</v>
      </c>
      <c r="M314" s="1362" t="s">
        <v>1671</v>
      </c>
      <c r="O314" s="1865"/>
      <c r="Q314" s="1362" t="s">
        <v>1672</v>
      </c>
    </row>
    <row r="315" spans="1:17" ht="5.15" customHeight="1"/>
    <row r="316" spans="1:17" ht="13">
      <c r="A316" s="1273"/>
      <c r="B316" s="1273"/>
      <c r="C316" s="1131">
        <f>C307+1</f>
        <v>151</v>
      </c>
      <c r="D316" s="1273"/>
      <c r="E316" s="1274" t="s">
        <v>1673</v>
      </c>
      <c r="F316" s="1273"/>
      <c r="G316" s="1275"/>
      <c r="H316" s="1273"/>
      <c r="I316" s="1275"/>
      <c r="J316" s="1273"/>
      <c r="K316" s="1276"/>
      <c r="M316" s="1265"/>
      <c r="O316" s="1277"/>
      <c r="Q316" s="1273"/>
    </row>
    <row r="317" spans="1:17" ht="5.15" customHeight="1">
      <c r="C317" s="1131"/>
    </row>
    <row r="318" spans="1:17">
      <c r="C318" s="1131">
        <f>C316+1</f>
        <v>152</v>
      </c>
      <c r="E318" s="1260" t="s">
        <v>1650</v>
      </c>
      <c r="G318" s="1278" t="s">
        <v>1699</v>
      </c>
      <c r="I318" s="1275" t="s">
        <v>1674</v>
      </c>
      <c r="K318" s="1263">
        <v>0</v>
      </c>
      <c r="L318" s="1262"/>
      <c r="M318" s="1263">
        <v>0</v>
      </c>
      <c r="N318" s="1262"/>
      <c r="O318" s="1263">
        <f>-K318/4*(3/12)</f>
        <v>0</v>
      </c>
      <c r="P318" s="1262"/>
      <c r="Q318" s="1263">
        <f>M318+O318</f>
        <v>0</v>
      </c>
    </row>
    <row r="319" spans="1:17">
      <c r="C319" s="1131">
        <f>C318+1</f>
        <v>153</v>
      </c>
      <c r="E319" s="1260" t="s">
        <v>1675</v>
      </c>
      <c r="G319" s="1278" t="s">
        <v>1699</v>
      </c>
      <c r="I319" s="1275" t="s">
        <v>1674</v>
      </c>
      <c r="K319" s="1279">
        <v>0</v>
      </c>
      <c r="M319" s="1279">
        <v>0</v>
      </c>
      <c r="O319" s="1279">
        <f>-K319/4</f>
        <v>0</v>
      </c>
      <c r="Q319" s="1264">
        <f>M319+O319</f>
        <v>0</v>
      </c>
    </row>
    <row r="320" spans="1:17">
      <c r="C320" s="1131">
        <f>C319+1</f>
        <v>154</v>
      </c>
      <c r="E320" s="1260" t="s">
        <v>1651</v>
      </c>
      <c r="G320" s="1278" t="s">
        <v>1699</v>
      </c>
      <c r="I320" s="1275" t="s">
        <v>1674</v>
      </c>
      <c r="K320" s="1279">
        <v>0</v>
      </c>
      <c r="M320" s="1279">
        <v>0</v>
      </c>
      <c r="O320" s="1279">
        <f>-K320/4</f>
        <v>0</v>
      </c>
      <c r="Q320" s="1264">
        <f>M320+O320</f>
        <v>0</v>
      </c>
    </row>
    <row r="321" spans="1:17">
      <c r="C321" s="1131">
        <f>C320+1</f>
        <v>155</v>
      </c>
      <c r="E321" s="1260" t="s">
        <v>1652</v>
      </c>
      <c r="G321" s="1278" t="s">
        <v>1699</v>
      </c>
      <c r="I321" s="1275" t="s">
        <v>1674</v>
      </c>
      <c r="K321" s="1279">
        <v>0</v>
      </c>
      <c r="M321" s="1279">
        <v>0</v>
      </c>
      <c r="O321" s="1279">
        <f>-K321/4</f>
        <v>0</v>
      </c>
      <c r="Q321" s="1264">
        <f>M321+O321</f>
        <v>0</v>
      </c>
    </row>
    <row r="322" spans="1:17" ht="5.15" customHeight="1">
      <c r="K322" s="1280"/>
      <c r="M322" s="1280"/>
      <c r="O322" s="1280"/>
      <c r="Q322" s="1280"/>
    </row>
    <row r="323" spans="1:17" ht="13">
      <c r="C323" s="1131">
        <f>C321+1</f>
        <v>156</v>
      </c>
      <c r="E323" s="1128" t="s">
        <v>1676</v>
      </c>
      <c r="K323" s="1265">
        <f>SUM(K317:K322)</f>
        <v>0</v>
      </c>
      <c r="L323" s="1265"/>
      <c r="M323" s="1265">
        <f>SUM(M317:M322)</f>
        <v>0</v>
      </c>
      <c r="N323" s="1262"/>
      <c r="O323" s="1265">
        <f>SUM(O317:O322)</f>
        <v>0</v>
      </c>
      <c r="P323" s="1265"/>
      <c r="Q323" s="1265">
        <f>SUM(Q317:Q322)</f>
        <v>0</v>
      </c>
    </row>
    <row r="325" spans="1:17" ht="13">
      <c r="A325" s="1273"/>
      <c r="B325" s="1273"/>
      <c r="C325" s="1131">
        <f>C323+1</f>
        <v>157</v>
      </c>
      <c r="D325" s="1273"/>
      <c r="E325" s="1274" t="s">
        <v>1677</v>
      </c>
      <c r="F325" s="1273"/>
      <c r="G325" s="1275"/>
      <c r="H325" s="1273"/>
      <c r="I325" s="1275"/>
      <c r="J325" s="1273"/>
      <c r="K325" s="1276"/>
      <c r="M325" s="1265"/>
      <c r="O325" s="1277"/>
      <c r="Q325" s="1273"/>
    </row>
    <row r="326" spans="1:17" ht="5.15" customHeight="1"/>
    <row r="327" spans="1:17">
      <c r="C327" s="1131">
        <f>C325+1</f>
        <v>158</v>
      </c>
      <c r="E327" s="1260" t="s">
        <v>1650</v>
      </c>
      <c r="G327" s="1278" t="s">
        <v>1699</v>
      </c>
      <c r="I327" s="1275" t="s">
        <v>1678</v>
      </c>
      <c r="K327" s="1263">
        <v>0</v>
      </c>
      <c r="L327" s="1262"/>
      <c r="M327" s="1263">
        <v>0</v>
      </c>
      <c r="N327" s="1265"/>
      <c r="O327" s="1263">
        <v>0</v>
      </c>
      <c r="P327" s="1265"/>
      <c r="Q327" s="1263">
        <f>M327+O327</f>
        <v>0</v>
      </c>
    </row>
    <row r="328" spans="1:17">
      <c r="C328" s="1131">
        <f>C327+1</f>
        <v>159</v>
      </c>
      <c r="E328" s="1260" t="s">
        <v>1675</v>
      </c>
      <c r="G328" s="1278" t="s">
        <v>1699</v>
      </c>
      <c r="I328" s="1275" t="s">
        <v>1678</v>
      </c>
      <c r="K328" s="1279">
        <v>0</v>
      </c>
      <c r="M328" s="1279">
        <v>0</v>
      </c>
      <c r="O328" s="1279">
        <v>0</v>
      </c>
      <c r="Q328" s="1264">
        <f>M328+O328</f>
        <v>0</v>
      </c>
    </row>
    <row r="329" spans="1:17">
      <c r="C329" s="1131">
        <f>C328+1</f>
        <v>160</v>
      </c>
      <c r="E329" s="1260" t="s">
        <v>1651</v>
      </c>
      <c r="G329" s="1278" t="s">
        <v>1699</v>
      </c>
      <c r="I329" s="1275" t="s">
        <v>1678</v>
      </c>
      <c r="K329" s="1279">
        <f>58414</f>
        <v>58414</v>
      </c>
      <c r="M329" s="1279">
        <v>20444.900000000001</v>
      </c>
      <c r="O329" s="1279">
        <f>-K329/5</f>
        <v>-11682.8</v>
      </c>
      <c r="Q329" s="1264">
        <f>M329+O329</f>
        <v>8762.1000000000022</v>
      </c>
    </row>
    <row r="330" spans="1:17">
      <c r="C330" s="1131">
        <f>C329+1</f>
        <v>161</v>
      </c>
      <c r="E330" s="1260" t="s">
        <v>1652</v>
      </c>
      <c r="G330" s="1278" t="s">
        <v>1699</v>
      </c>
      <c r="I330" s="1275" t="s">
        <v>1678</v>
      </c>
      <c r="K330" s="1279">
        <v>0</v>
      </c>
      <c r="M330" s="1279">
        <v>0</v>
      </c>
      <c r="O330" s="1279">
        <v>0</v>
      </c>
      <c r="Q330" s="1264">
        <f>M330+O330</f>
        <v>0</v>
      </c>
    </row>
    <row r="331" spans="1:17" ht="5.15" customHeight="1">
      <c r="K331" s="1280"/>
      <c r="M331" s="1280"/>
      <c r="O331" s="1280"/>
      <c r="Q331" s="1280"/>
    </row>
    <row r="332" spans="1:17" ht="13">
      <c r="C332" s="1131">
        <f>C330+1</f>
        <v>162</v>
      </c>
      <c r="E332" s="1128" t="s">
        <v>1676</v>
      </c>
      <c r="K332" s="1265">
        <f>SUM(K326:K331)</f>
        <v>58414</v>
      </c>
      <c r="L332" s="1262"/>
      <c r="M332" s="1265">
        <f>SUM(M326:M331)</f>
        <v>20444.900000000001</v>
      </c>
      <c r="N332" s="1265"/>
      <c r="O332" s="1265">
        <f>SUM(O326:O331)</f>
        <v>-11682.8</v>
      </c>
      <c r="P332" s="1265"/>
      <c r="Q332" s="1265">
        <f>SUM(Q326:Q331)</f>
        <v>8762.1000000000022</v>
      </c>
    </row>
    <row r="334" spans="1:17" ht="13">
      <c r="A334" s="1273"/>
      <c r="B334" s="1273"/>
      <c r="C334" s="1131">
        <f>C332+1</f>
        <v>163</v>
      </c>
      <c r="D334" s="1273"/>
      <c r="E334" s="1274" t="s">
        <v>1679</v>
      </c>
      <c r="F334" s="1273"/>
      <c r="G334" s="1275"/>
      <c r="H334" s="1273"/>
      <c r="I334" s="1275"/>
      <c r="J334" s="1273"/>
      <c r="K334" s="1276"/>
      <c r="M334" s="1265"/>
      <c r="O334" s="1277"/>
      <c r="Q334" s="1273"/>
    </row>
    <row r="335" spans="1:17" ht="5.15" customHeight="1"/>
    <row r="336" spans="1:17">
      <c r="C336" s="1131">
        <f>C334+1</f>
        <v>164</v>
      </c>
      <c r="E336" s="1260" t="s">
        <v>1650</v>
      </c>
      <c r="G336" s="1278" t="s">
        <v>1699</v>
      </c>
      <c r="I336" s="1275" t="s">
        <v>1693</v>
      </c>
      <c r="K336" s="1263">
        <v>0</v>
      </c>
      <c r="M336" s="1263">
        <v>0</v>
      </c>
      <c r="N336" s="1265"/>
      <c r="O336" s="1263">
        <v>0</v>
      </c>
      <c r="P336" s="1265"/>
      <c r="Q336" s="1263">
        <f>M336+O336</f>
        <v>0</v>
      </c>
    </row>
    <row r="337" spans="1:17">
      <c r="C337" s="1131">
        <f>C336+1</f>
        <v>165</v>
      </c>
      <c r="E337" s="1260" t="s">
        <v>1675</v>
      </c>
      <c r="G337" s="1278" t="s">
        <v>1699</v>
      </c>
      <c r="I337" s="1275" t="s">
        <v>1693</v>
      </c>
      <c r="K337" s="1279">
        <v>0</v>
      </c>
      <c r="M337" s="1279">
        <v>0</v>
      </c>
      <c r="O337" s="1279">
        <v>0</v>
      </c>
      <c r="Q337" s="1264">
        <f>M337+O337</f>
        <v>0</v>
      </c>
    </row>
    <row r="338" spans="1:17">
      <c r="C338" s="1131">
        <f>C337+1</f>
        <v>166</v>
      </c>
      <c r="E338" s="1260" t="s">
        <v>1651</v>
      </c>
      <c r="G338" s="1278" t="s">
        <v>1699</v>
      </c>
      <c r="I338" s="1275" t="s">
        <v>1693</v>
      </c>
      <c r="K338" s="1279">
        <v>0</v>
      </c>
      <c r="M338" s="1279">
        <v>0</v>
      </c>
      <c r="O338" s="1279">
        <v>0</v>
      </c>
      <c r="Q338" s="1264">
        <f>M338+O338</f>
        <v>0</v>
      </c>
    </row>
    <row r="339" spans="1:17">
      <c r="C339" s="1131">
        <f>C338+1</f>
        <v>167</v>
      </c>
      <c r="E339" s="1260" t="s">
        <v>1652</v>
      </c>
      <c r="G339" s="1278" t="s">
        <v>1699</v>
      </c>
      <c r="I339" s="1275" t="s">
        <v>1693</v>
      </c>
      <c r="K339" s="1279">
        <v>0</v>
      </c>
      <c r="M339" s="1279">
        <v>0</v>
      </c>
      <c r="O339" s="1279">
        <v>0</v>
      </c>
      <c r="Q339" s="1264">
        <f>M339+O339</f>
        <v>0</v>
      </c>
    </row>
    <row r="340" spans="1:17" ht="5.15" customHeight="1">
      <c r="K340" s="1280"/>
      <c r="M340" s="1280"/>
      <c r="O340" s="1280"/>
      <c r="Q340" s="1280"/>
    </row>
    <row r="341" spans="1:17" ht="13">
      <c r="C341" s="1131">
        <f>C339+1</f>
        <v>168</v>
      </c>
      <c r="E341" s="1128" t="s">
        <v>1676</v>
      </c>
      <c r="K341" s="1265">
        <f>SUM(K335:K340)</f>
        <v>0</v>
      </c>
      <c r="L341" s="1262"/>
      <c r="M341" s="1265">
        <f>SUM(M335:M340)</f>
        <v>0</v>
      </c>
      <c r="N341" s="1262"/>
      <c r="O341" s="1265">
        <f>SUM(O335:O340)</f>
        <v>0</v>
      </c>
      <c r="P341" s="1265"/>
      <c r="Q341" s="1265">
        <f>SUM(Q335:Q340)</f>
        <v>0</v>
      </c>
    </row>
    <row r="343" spans="1:17" ht="13.5" thickBot="1">
      <c r="C343" s="1131">
        <f>C341+1</f>
        <v>169</v>
      </c>
      <c r="E343" s="1128" t="s">
        <v>1681</v>
      </c>
      <c r="K343" s="1281">
        <f>K323+K332+K341</f>
        <v>58414</v>
      </c>
      <c r="L343" s="1265"/>
      <c r="M343" s="1281">
        <f>M323+M332+M341</f>
        <v>20444.900000000001</v>
      </c>
      <c r="N343" s="1265"/>
      <c r="O343" s="1281">
        <f>O323+O332+O341</f>
        <v>-11682.8</v>
      </c>
      <c r="P343" s="1265"/>
      <c r="Q343" s="1281">
        <f>Q323+Q332+Q341</f>
        <v>8762.1000000000022</v>
      </c>
    </row>
    <row r="346" spans="1:17" ht="15.75" customHeight="1">
      <c r="C346" s="1857" t="s">
        <v>1700</v>
      </c>
      <c r="D346" s="1858"/>
      <c r="E346" s="1858"/>
      <c r="F346" s="1858"/>
      <c r="G346" s="1858"/>
      <c r="H346" s="1858"/>
      <c r="I346" s="1858"/>
      <c r="J346" s="1858"/>
      <c r="K346" s="1858"/>
      <c r="L346" s="1858"/>
      <c r="M346" s="1858"/>
      <c r="N346" s="1858"/>
      <c r="O346" s="1858"/>
      <c r="P346" s="1858"/>
      <c r="Q346" s="1859"/>
    </row>
    <row r="348" spans="1:17" ht="13">
      <c r="E348" s="1129" t="s">
        <v>216</v>
      </c>
      <c r="F348" s="1129"/>
      <c r="G348" s="1129" t="s">
        <v>217</v>
      </c>
      <c r="H348" s="1129"/>
      <c r="I348" s="1129" t="s">
        <v>1318</v>
      </c>
      <c r="J348" s="1129"/>
      <c r="K348" s="1129" t="s">
        <v>1566</v>
      </c>
      <c r="L348" s="1129"/>
      <c r="M348" s="1129" t="s">
        <v>1666</v>
      </c>
      <c r="N348" s="1129"/>
      <c r="O348" s="1129" t="s">
        <v>1568</v>
      </c>
      <c r="P348" s="1129"/>
      <c r="Q348" s="1129" t="s">
        <v>1569</v>
      </c>
    </row>
    <row r="349" spans="1:17" ht="15" customHeight="1">
      <c r="C349" s="1846" t="s">
        <v>1576</v>
      </c>
      <c r="D349" s="1360"/>
      <c r="E349" s="1860" t="s">
        <v>1647</v>
      </c>
      <c r="G349" s="1862" t="s">
        <v>380</v>
      </c>
      <c r="I349" s="1862" t="s">
        <v>1667</v>
      </c>
      <c r="K349" s="1269"/>
      <c r="M349" s="1727" t="str">
        <f>M11</f>
        <v>December 31, 2021</v>
      </c>
      <c r="O349" s="1864" t="s">
        <v>1669</v>
      </c>
      <c r="Q349" s="1270" t="str">
        <f>Q11</f>
        <v>December 31, 2022</v>
      </c>
    </row>
    <row r="350" spans="1:17" ht="25">
      <c r="C350" s="1847"/>
      <c r="D350" s="1360"/>
      <c r="E350" s="1861"/>
      <c r="F350" s="1271"/>
      <c r="G350" s="1863"/>
      <c r="H350" s="1271"/>
      <c r="I350" s="1863"/>
      <c r="J350" s="1271"/>
      <c r="K350" s="1272" t="s">
        <v>1670</v>
      </c>
      <c r="M350" s="1362" t="s">
        <v>1671</v>
      </c>
      <c r="O350" s="1865"/>
      <c r="Q350" s="1362" t="s">
        <v>1672</v>
      </c>
    </row>
    <row r="351" spans="1:17" ht="5.15" customHeight="1"/>
    <row r="352" spans="1:17" ht="13">
      <c r="A352" s="1273"/>
      <c r="B352" s="1273"/>
      <c r="C352" s="1131">
        <f>C343+1</f>
        <v>170</v>
      </c>
      <c r="D352" s="1273"/>
      <c r="E352" s="1274" t="s">
        <v>1673</v>
      </c>
      <c r="F352" s="1273"/>
      <c r="G352" s="1275"/>
      <c r="H352" s="1273"/>
      <c r="I352" s="1275"/>
      <c r="J352" s="1273"/>
      <c r="K352" s="1276"/>
      <c r="M352" s="1265"/>
      <c r="O352" s="1277"/>
      <c r="Q352" s="1273"/>
    </row>
    <row r="353" spans="1:20" ht="5.15" customHeight="1"/>
    <row r="354" spans="1:20">
      <c r="C354" s="1131">
        <f>C352+1</f>
        <v>171</v>
      </c>
      <c r="E354" s="1260" t="s">
        <v>1650</v>
      </c>
      <c r="G354" s="1278"/>
      <c r="I354" s="1275"/>
      <c r="K354" s="1263">
        <f>K138+K174+K210+K246+K282+K318</f>
        <v>-473969</v>
      </c>
      <c r="L354" s="1262"/>
      <c r="M354" s="1263">
        <f>M138+M174+M210+M246+M282+M318</f>
        <v>-88869.375</v>
      </c>
      <c r="N354" s="1262"/>
      <c r="O354" s="1263">
        <f>O138+O174+O210+O246+O282+O318</f>
        <v>88869.375</v>
      </c>
      <c r="P354" s="1262"/>
      <c r="Q354" s="1263">
        <f>M354+O354</f>
        <v>0</v>
      </c>
      <c r="T354" s="1162"/>
    </row>
    <row r="355" spans="1:20">
      <c r="C355" s="1131">
        <f>C354+1</f>
        <v>172</v>
      </c>
      <c r="E355" s="1260" t="s">
        <v>1675</v>
      </c>
      <c r="G355" s="1278"/>
      <c r="I355" s="1275"/>
      <c r="K355" s="1279">
        <f>K139+K175+K211+K247+K283+K319</f>
        <v>0</v>
      </c>
      <c r="M355" s="1279">
        <f>M139+M175+M211+M247+M283+M319</f>
        <v>0</v>
      </c>
      <c r="O355" s="1279">
        <f>O139+O175+O211+O247+O283+O319</f>
        <v>0</v>
      </c>
      <c r="Q355" s="1264">
        <f>M355+O355</f>
        <v>0</v>
      </c>
    </row>
    <row r="356" spans="1:20">
      <c r="C356" s="1131">
        <f>C355+1</f>
        <v>173</v>
      </c>
      <c r="E356" s="1260" t="s">
        <v>1651</v>
      </c>
      <c r="G356" s="1278"/>
      <c r="I356" s="1275"/>
      <c r="K356" s="1279">
        <f>K140+K176+K212+K248+K284+K320</f>
        <v>0</v>
      </c>
      <c r="M356" s="1279">
        <f>M140+M176+M212+M248+M284+M320</f>
        <v>0</v>
      </c>
      <c r="O356" s="1279">
        <f>O140+O176+O212+O248+O284+O320</f>
        <v>0</v>
      </c>
      <c r="Q356" s="1264">
        <f>M356+O356</f>
        <v>0</v>
      </c>
    </row>
    <row r="357" spans="1:20">
      <c r="C357" s="1131">
        <f>C356+1</f>
        <v>174</v>
      </c>
      <c r="E357" s="1260" t="s">
        <v>1652</v>
      </c>
      <c r="G357" s="1278"/>
      <c r="I357" s="1275"/>
      <c r="K357" s="1279">
        <f>K141+K177+K213+K249+K285+K321</f>
        <v>0</v>
      </c>
      <c r="M357" s="1279">
        <f>M141+M177+M213+M249+M285+M321</f>
        <v>0</v>
      </c>
      <c r="O357" s="1279">
        <f>O141+O177+O213+O249+O285+O321</f>
        <v>0</v>
      </c>
      <c r="Q357" s="1264">
        <f>M357+O357</f>
        <v>0</v>
      </c>
      <c r="T357" s="1162"/>
    </row>
    <row r="358" spans="1:20" ht="5.15" customHeight="1">
      <c r="K358" s="1280"/>
      <c r="M358" s="1280"/>
      <c r="O358" s="1280"/>
      <c r="Q358" s="1280"/>
    </row>
    <row r="359" spans="1:20" ht="13">
      <c r="C359" s="1131">
        <f>C357+1</f>
        <v>175</v>
      </c>
      <c r="E359" s="1128" t="s">
        <v>1676</v>
      </c>
      <c r="K359" s="1265">
        <f>SUM(K353:K358)</f>
        <v>-473969</v>
      </c>
      <c r="L359" s="1265"/>
      <c r="M359" s="1265">
        <f>SUM(M353:M358)</f>
        <v>-88869.375</v>
      </c>
      <c r="N359" s="1262"/>
      <c r="O359" s="1265">
        <f>SUM(O353:O358)</f>
        <v>88869.375</v>
      </c>
      <c r="P359" s="1265"/>
      <c r="Q359" s="1265">
        <f>SUM(Q353:Q358)</f>
        <v>0</v>
      </c>
    </row>
    <row r="360" spans="1:20">
      <c r="C360" s="1131"/>
    </row>
    <row r="361" spans="1:20" ht="13">
      <c r="A361" s="1273"/>
      <c r="B361" s="1273"/>
      <c r="C361" s="1131">
        <f>C359+1</f>
        <v>176</v>
      </c>
      <c r="D361" s="1273"/>
      <c r="E361" s="1274" t="s">
        <v>1677</v>
      </c>
      <c r="F361" s="1273"/>
      <c r="G361" s="1275"/>
      <c r="H361" s="1273"/>
      <c r="I361" s="1275"/>
      <c r="J361" s="1273"/>
      <c r="K361" s="1276"/>
      <c r="M361" s="1265"/>
      <c r="O361" s="1277"/>
      <c r="Q361" s="1273"/>
    </row>
    <row r="362" spans="1:20" ht="5.15" customHeight="1"/>
    <row r="363" spans="1:20">
      <c r="C363" s="1131">
        <f>C361+1</f>
        <v>177</v>
      </c>
      <c r="E363" s="1260" t="s">
        <v>1650</v>
      </c>
      <c r="G363" s="1278"/>
      <c r="I363" s="1275"/>
      <c r="K363" s="1263">
        <f>K147+K183+K219+K255+K291+K327</f>
        <v>0</v>
      </c>
      <c r="L363" s="1262"/>
      <c r="M363" s="1263">
        <f>M147+M183+M219+M255+M291+M327</f>
        <v>0</v>
      </c>
      <c r="N363" s="1262"/>
      <c r="O363" s="1263">
        <f>O147+O183+O219+O255+O291+O327</f>
        <v>0</v>
      </c>
      <c r="P363" s="1262"/>
      <c r="Q363" s="1263">
        <f>M363+O363</f>
        <v>0</v>
      </c>
    </row>
    <row r="364" spans="1:20">
      <c r="C364" s="1131">
        <f>C363+1</f>
        <v>178</v>
      </c>
      <c r="E364" s="1260" t="s">
        <v>1675</v>
      </c>
      <c r="G364" s="1278"/>
      <c r="I364" s="1275"/>
      <c r="K364" s="1279">
        <f>K148+K184+K220+K256+K292+K328</f>
        <v>0</v>
      </c>
      <c r="M364" s="1279">
        <f>M148+M184+M220+M256+M292+M328</f>
        <v>0</v>
      </c>
      <c r="O364" s="1279">
        <f>O148+O184+O220+O256+O292+O328</f>
        <v>0</v>
      </c>
      <c r="Q364" s="1264">
        <f>M364+O364</f>
        <v>0</v>
      </c>
    </row>
    <row r="365" spans="1:20">
      <c r="C365" s="1131">
        <f>C364+1</f>
        <v>179</v>
      </c>
      <c r="E365" s="1260" t="s">
        <v>1651</v>
      </c>
      <c r="G365" s="1278"/>
      <c r="I365" s="1275"/>
      <c r="K365" s="1279">
        <f>K149+K185+K221+K257+K293+K329</f>
        <v>-1932414</v>
      </c>
      <c r="M365" s="1279">
        <f>M149+M185+M221+M257+M293+M329</f>
        <v>-676344.7</v>
      </c>
      <c r="O365" s="1279">
        <f>O149+O185+O221+O257+O293+O329</f>
        <v>386482.8</v>
      </c>
      <c r="Q365" s="1264">
        <f>M365+O365</f>
        <v>-289861.89999999997</v>
      </c>
      <c r="T365" s="1162"/>
    </row>
    <row r="366" spans="1:20">
      <c r="C366" s="1131">
        <f>C365+1</f>
        <v>180</v>
      </c>
      <c r="E366" s="1260" t="s">
        <v>1652</v>
      </c>
      <c r="G366" s="1278"/>
      <c r="I366" s="1275"/>
      <c r="K366" s="1279">
        <f>K150+K186+K222+K258+K294+K330</f>
        <v>0</v>
      </c>
      <c r="M366" s="1279">
        <f>M150+M186+M222+M258+M294+M330</f>
        <v>0</v>
      </c>
      <c r="O366" s="1279">
        <f>O150+O186+O222+O258+O294+O330</f>
        <v>0</v>
      </c>
      <c r="Q366" s="1264">
        <f>M366+O366</f>
        <v>0</v>
      </c>
    </row>
    <row r="367" spans="1:20" ht="5.15" customHeight="1">
      <c r="K367" s="1280"/>
      <c r="M367" s="1280"/>
      <c r="O367" s="1280"/>
      <c r="Q367" s="1280"/>
    </row>
    <row r="368" spans="1:20" ht="13">
      <c r="C368" s="1131">
        <f>C366+1</f>
        <v>181</v>
      </c>
      <c r="E368" s="1128" t="s">
        <v>1676</v>
      </c>
      <c r="K368" s="1265">
        <f>SUM(K362:K367)</f>
        <v>-1932414</v>
      </c>
      <c r="L368" s="1262"/>
      <c r="M368" s="1265">
        <f>SUM(M362:M367)</f>
        <v>-676344.7</v>
      </c>
      <c r="N368" s="1265"/>
      <c r="O368" s="1265">
        <f>SUM(O362:O367)</f>
        <v>386482.8</v>
      </c>
      <c r="P368" s="1265"/>
      <c r="Q368" s="1265">
        <f>SUM(Q362:Q367)</f>
        <v>-289861.89999999997</v>
      </c>
    </row>
    <row r="370" spans="1:20" ht="13">
      <c r="A370" s="1273"/>
      <c r="B370" s="1273"/>
      <c r="C370" s="1131">
        <f>C368+1</f>
        <v>182</v>
      </c>
      <c r="D370" s="1273"/>
      <c r="E370" s="1274" t="s">
        <v>1679</v>
      </c>
      <c r="F370" s="1273"/>
      <c r="G370" s="1275"/>
      <c r="H370" s="1273"/>
      <c r="I370" s="1275"/>
      <c r="J370" s="1273"/>
      <c r="K370" s="1276"/>
      <c r="M370" s="1265"/>
      <c r="O370" s="1277"/>
      <c r="Q370" s="1273"/>
    </row>
    <row r="371" spans="1:20" ht="5.15" customHeight="1"/>
    <row r="372" spans="1:20">
      <c r="C372" s="1131">
        <f>C370+1</f>
        <v>183</v>
      </c>
      <c r="E372" s="1260" t="s">
        <v>1650</v>
      </c>
      <c r="G372" s="1278"/>
      <c r="I372" s="1275"/>
      <c r="K372" s="1263">
        <f>K156+K192+K228+K264+K300+K336</f>
        <v>0</v>
      </c>
      <c r="M372" s="1263">
        <f>M156+M192+M228+M264+M300+M336</f>
        <v>0</v>
      </c>
      <c r="O372" s="1263">
        <f>O156+O192+O228+O264+O300+O336</f>
        <v>0</v>
      </c>
      <c r="Q372" s="1263">
        <f t="shared" ref="Q372:Q375" si="0">M372+O372</f>
        <v>0</v>
      </c>
    </row>
    <row r="373" spans="1:20">
      <c r="C373" s="1131">
        <f>C372+1</f>
        <v>184</v>
      </c>
      <c r="E373" s="1260" t="s">
        <v>1675</v>
      </c>
      <c r="G373" s="1278"/>
      <c r="I373" s="1275"/>
      <c r="K373" s="1279">
        <f>K157+K193+K229+K265+K301+K337</f>
        <v>0</v>
      </c>
      <c r="M373" s="1279">
        <f>M157+M193+M229+M265+M301+M337</f>
        <v>0</v>
      </c>
      <c r="O373" s="1279">
        <f>O157+O193+O229+O265+O301+O337</f>
        <v>0</v>
      </c>
      <c r="Q373" s="1264">
        <f t="shared" si="0"/>
        <v>0</v>
      </c>
    </row>
    <row r="374" spans="1:20">
      <c r="C374" s="1131">
        <f>C373+1</f>
        <v>185</v>
      </c>
      <c r="E374" s="1260" t="s">
        <v>1651</v>
      </c>
      <c r="G374" s="1278"/>
      <c r="I374" s="1275"/>
      <c r="K374" s="1279">
        <f>K158+K194+K230+K266+K302+K338</f>
        <v>0</v>
      </c>
      <c r="M374" s="1279">
        <f>M158+M194+M230+M266+M302+M338</f>
        <v>0</v>
      </c>
      <c r="O374" s="1279">
        <f>O158+O194+O230+O266+O302+O338</f>
        <v>0</v>
      </c>
      <c r="Q374" s="1264">
        <f t="shared" si="0"/>
        <v>0</v>
      </c>
    </row>
    <row r="375" spans="1:20">
      <c r="C375" s="1131">
        <f>C374+1</f>
        <v>186</v>
      </c>
      <c r="E375" s="1260" t="s">
        <v>1652</v>
      </c>
      <c r="G375" s="1278"/>
      <c r="I375" s="1275"/>
      <c r="K375" s="1279">
        <f>K159+K195+K231+K267+K303+K339</f>
        <v>0</v>
      </c>
      <c r="M375" s="1279">
        <f>M159+M195+M231+M267+M303+M339</f>
        <v>0</v>
      </c>
      <c r="O375" s="1279">
        <f>O159+O195+O231+O267+O303+O339</f>
        <v>0</v>
      </c>
      <c r="Q375" s="1264">
        <f t="shared" si="0"/>
        <v>0</v>
      </c>
    </row>
    <row r="376" spans="1:20" ht="5.15" customHeight="1">
      <c r="K376" s="1280"/>
      <c r="M376" s="1280"/>
      <c r="O376" s="1280"/>
      <c r="Q376" s="1280"/>
    </row>
    <row r="377" spans="1:20" ht="13">
      <c r="C377" s="1131">
        <f>C375+1</f>
        <v>187</v>
      </c>
      <c r="E377" s="1128" t="s">
        <v>1676</v>
      </c>
      <c r="K377" s="1265">
        <f>SUM(K371:K376)</f>
        <v>0</v>
      </c>
      <c r="L377" s="1262"/>
      <c r="M377" s="1265">
        <f>SUM(M371:M376)</f>
        <v>0</v>
      </c>
      <c r="N377" s="1262"/>
      <c r="O377" s="1265">
        <f>SUM(O371:O376)</f>
        <v>0</v>
      </c>
      <c r="P377" s="1265"/>
      <c r="Q377" s="1265">
        <f>SUM(Q371:Q376)</f>
        <v>0</v>
      </c>
      <c r="T377" s="1162"/>
    </row>
    <row r="379" spans="1:20" ht="13.5" thickBot="1">
      <c r="C379" s="1131">
        <f>C377+1</f>
        <v>188</v>
      </c>
      <c r="E379" s="1128" t="s">
        <v>1681</v>
      </c>
      <c r="K379" s="1281">
        <f>K359+K368+K377</f>
        <v>-2406383</v>
      </c>
      <c r="L379" s="1265"/>
      <c r="M379" s="1281">
        <f>M359+M368+M377</f>
        <v>-765214.07499999995</v>
      </c>
      <c r="N379" s="1265"/>
      <c r="O379" s="1281">
        <f>O359+O368+O377</f>
        <v>475352.17499999999</v>
      </c>
      <c r="P379" s="1265"/>
      <c r="Q379" s="1281">
        <f>Q359+Q368+Q377</f>
        <v>-289861.89999999997</v>
      </c>
      <c r="T379" s="1282"/>
    </row>
    <row r="380" spans="1:20" ht="13">
      <c r="C380" s="1131"/>
      <c r="E380" s="1128"/>
      <c r="K380" s="1284"/>
      <c r="L380" s="1265"/>
      <c r="M380" s="1284"/>
      <c r="N380" s="1265"/>
      <c r="O380" s="1284"/>
      <c r="P380" s="1265"/>
      <c r="Q380" s="1284"/>
      <c r="T380" s="1282"/>
    </row>
    <row r="381" spans="1:20" ht="13">
      <c r="C381" s="1131"/>
      <c r="E381" s="1128"/>
      <c r="K381" s="1284"/>
      <c r="L381" s="1265"/>
      <c r="M381" s="1284"/>
      <c r="N381" s="1265"/>
      <c r="O381" s="1284"/>
      <c r="P381" s="1265"/>
      <c r="Q381" s="1284"/>
      <c r="T381" s="1282"/>
    </row>
    <row r="382" spans="1:20" ht="15.5">
      <c r="E382" s="1857" t="s">
        <v>1700</v>
      </c>
      <c r="F382" s="1858"/>
      <c r="G382" s="1858"/>
      <c r="H382" s="1858"/>
      <c r="I382" s="1858"/>
      <c r="J382" s="1858"/>
      <c r="K382" s="1858"/>
      <c r="L382" s="1858"/>
      <c r="M382" s="1858"/>
      <c r="N382" s="1858"/>
      <c r="O382" s="1858"/>
      <c r="P382" s="1858"/>
      <c r="Q382" s="1859"/>
    </row>
    <row r="384" spans="1:20" ht="13">
      <c r="E384" s="1129" t="s">
        <v>216</v>
      </c>
      <c r="F384" s="1129"/>
      <c r="G384" s="1129" t="s">
        <v>217</v>
      </c>
      <c r="H384" s="1129"/>
      <c r="I384" s="1129" t="s">
        <v>1318</v>
      </c>
      <c r="J384" s="1129"/>
      <c r="K384" s="1129" t="s">
        <v>1566</v>
      </c>
      <c r="L384" s="1129"/>
      <c r="M384" s="1129" t="s">
        <v>1666</v>
      </c>
      <c r="N384" s="1129"/>
      <c r="O384" s="1129" t="s">
        <v>1568</v>
      </c>
      <c r="P384" s="1129"/>
      <c r="Q384" s="1129" t="s">
        <v>1569</v>
      </c>
    </row>
    <row r="385" spans="3:17" ht="15" customHeight="1">
      <c r="C385" s="1846" t="s">
        <v>1576</v>
      </c>
      <c r="D385" s="1360"/>
      <c r="E385" s="1860" t="s">
        <v>1647</v>
      </c>
      <c r="G385" s="1862" t="s">
        <v>380</v>
      </c>
      <c r="I385" s="1862" t="s">
        <v>1667</v>
      </c>
      <c r="M385" s="1727" t="str">
        <f>M11</f>
        <v>December 31, 2021</v>
      </c>
      <c r="O385" s="1864" t="s">
        <v>1669</v>
      </c>
      <c r="Q385" s="1270" t="str">
        <f>Q11</f>
        <v>December 31, 2022</v>
      </c>
    </row>
    <row r="386" spans="3:17" ht="25">
      <c r="C386" s="1847"/>
      <c r="D386" s="1360"/>
      <c r="E386" s="1861"/>
      <c r="F386" s="1271"/>
      <c r="G386" s="1863"/>
      <c r="H386" s="1271"/>
      <c r="I386" s="1863"/>
      <c r="J386" s="1271"/>
      <c r="K386" s="1272" t="s">
        <v>1670</v>
      </c>
      <c r="M386" s="1362" t="s">
        <v>1671</v>
      </c>
      <c r="O386" s="1865"/>
      <c r="Q386" s="1362" t="s">
        <v>1672</v>
      </c>
    </row>
    <row r="387" spans="3:17" ht="5.15" customHeight="1"/>
    <row r="388" spans="3:17">
      <c r="C388" s="1131">
        <f>C379+1</f>
        <v>189</v>
      </c>
      <c r="E388" s="1260" t="s">
        <v>1650</v>
      </c>
      <c r="K388" s="1263">
        <f>K354+K363+K372</f>
        <v>-473969</v>
      </c>
      <c r="L388" s="1262"/>
      <c r="M388" s="1263">
        <f>M354+M363+M372</f>
        <v>-88869.375</v>
      </c>
      <c r="N388" s="1262"/>
      <c r="O388" s="1263">
        <f>O354+O363+O372</f>
        <v>88869.375</v>
      </c>
      <c r="P388" s="1262"/>
      <c r="Q388" s="1263">
        <f t="shared" ref="Q388:Q391" si="1">M388+O388</f>
        <v>0</v>
      </c>
    </row>
    <row r="389" spans="3:17">
      <c r="C389" s="1131">
        <f>C388+1</f>
        <v>190</v>
      </c>
      <c r="E389" s="1260" t="s">
        <v>1675</v>
      </c>
      <c r="K389" s="1279">
        <f t="shared" ref="K389:M391" si="2">K355+K364+K373</f>
        <v>0</v>
      </c>
      <c r="M389" s="1279">
        <f t="shared" si="2"/>
        <v>0</v>
      </c>
      <c r="O389" s="1279">
        <f t="shared" ref="O389:O391" si="3">O355+O364+O373</f>
        <v>0</v>
      </c>
      <c r="Q389" s="1264">
        <f t="shared" si="1"/>
        <v>0</v>
      </c>
    </row>
    <row r="390" spans="3:17">
      <c r="C390" s="1131">
        <f>C389+1</f>
        <v>191</v>
      </c>
      <c r="E390" s="1260" t="s">
        <v>1651</v>
      </c>
      <c r="K390" s="1279">
        <f t="shared" si="2"/>
        <v>-1932414</v>
      </c>
      <c r="M390" s="1279">
        <f t="shared" si="2"/>
        <v>-676344.7</v>
      </c>
      <c r="O390" s="1279">
        <f t="shared" si="3"/>
        <v>386482.8</v>
      </c>
      <c r="Q390" s="1264">
        <f t="shared" si="1"/>
        <v>-289861.89999999997</v>
      </c>
    </row>
    <row r="391" spans="3:17">
      <c r="C391" s="1131">
        <f>C390+1</f>
        <v>192</v>
      </c>
      <c r="E391" s="1260" t="s">
        <v>1652</v>
      </c>
      <c r="K391" s="1279">
        <f t="shared" si="2"/>
        <v>0</v>
      </c>
      <c r="M391" s="1279">
        <f t="shared" si="2"/>
        <v>0</v>
      </c>
      <c r="O391" s="1279">
        <f t="shared" si="3"/>
        <v>0</v>
      </c>
      <c r="Q391" s="1264">
        <f t="shared" si="1"/>
        <v>0</v>
      </c>
    </row>
    <row r="392" spans="3:17" ht="5.15" customHeight="1">
      <c r="Q392" s="1280"/>
    </row>
    <row r="393" spans="3:17" ht="13">
      <c r="C393" s="1131">
        <f>C391+1</f>
        <v>193</v>
      </c>
      <c r="E393" s="1128" t="s">
        <v>1681</v>
      </c>
      <c r="K393" s="1285">
        <f>SUM(K388:K392)</f>
        <v>-2406383</v>
      </c>
      <c r="L393" s="1265"/>
      <c r="M393" s="1285">
        <f>SUM(M388:M392)</f>
        <v>-765214.07499999995</v>
      </c>
      <c r="N393" s="1265"/>
      <c r="O393" s="1285">
        <f>SUM(O388:O392)</f>
        <v>475352.17499999999</v>
      </c>
      <c r="P393" s="1265"/>
      <c r="Q393" s="1285">
        <f>SUM(Q388:Q392)</f>
        <v>-289861.89999999997</v>
      </c>
    </row>
    <row r="394" spans="3:17" ht="5.15" customHeight="1"/>
    <row r="395" spans="3:17">
      <c r="C395" s="1131">
        <f>C393+1</f>
        <v>194</v>
      </c>
      <c r="E395" s="1260" t="s">
        <v>1492</v>
      </c>
      <c r="G395" s="945" t="s">
        <v>1685</v>
      </c>
      <c r="K395" s="1286">
        <f>'ATT H-9A'!$H$262</f>
        <v>1.380395621385089</v>
      </c>
      <c r="M395" s="1286">
        <f>'ATT H-9A'!$H$262</f>
        <v>1.380395621385089</v>
      </c>
      <c r="O395" s="1286">
        <f>'ATT H-9A'!$H$262</f>
        <v>1.380395621385089</v>
      </c>
      <c r="Q395" s="1286">
        <f>'ATT H-9A'!$H$262</f>
        <v>1.380395621385089</v>
      </c>
    </row>
    <row r="396" spans="3:17" ht="5.15" customHeight="1"/>
    <row r="397" spans="3:17" ht="13.5" thickBot="1">
      <c r="C397" s="1131">
        <f>C395+1</f>
        <v>195</v>
      </c>
      <c r="E397" s="1128" t="s">
        <v>1686</v>
      </c>
      <c r="K397" s="1287">
        <f>K393*K395</f>
        <v>-3321760.5565755144</v>
      </c>
      <c r="L397" s="1265"/>
      <c r="M397" s="1287">
        <f>M393*M395</f>
        <v>-1056298.158552241</v>
      </c>
      <c r="N397" s="1265"/>
      <c r="O397" s="1287">
        <f>O393*O395</f>
        <v>656174.06098587858</v>
      </c>
      <c r="P397" s="1265"/>
      <c r="Q397" s="1287">
        <f>Q393*Q395</f>
        <v>-400124.09756636247</v>
      </c>
    </row>
    <row r="398" spans="3:17" ht="13" thickTop="1"/>
    <row r="400" spans="3:17" ht="15.5">
      <c r="E400" s="1857" t="s">
        <v>1701</v>
      </c>
      <c r="F400" s="1858"/>
      <c r="G400" s="1858"/>
      <c r="H400" s="1858"/>
      <c r="I400" s="1858"/>
      <c r="J400" s="1858"/>
      <c r="K400" s="1858"/>
      <c r="L400" s="1858"/>
      <c r="M400" s="1858"/>
      <c r="N400" s="1858"/>
      <c r="O400" s="1858"/>
      <c r="P400" s="1858"/>
      <c r="Q400" s="1859"/>
    </row>
    <row r="402" spans="3:17" ht="13">
      <c r="E402" s="1129" t="s">
        <v>216</v>
      </c>
      <c r="F402" s="1129"/>
      <c r="G402" s="1129" t="s">
        <v>217</v>
      </c>
      <c r="H402" s="1129"/>
      <c r="I402" s="1129" t="s">
        <v>1318</v>
      </c>
      <c r="J402" s="1129"/>
      <c r="K402" s="1129" t="s">
        <v>1566</v>
      </c>
      <c r="L402" s="1129"/>
      <c r="M402" s="1129" t="s">
        <v>1666</v>
      </c>
      <c r="N402" s="1129"/>
      <c r="O402" s="1129" t="s">
        <v>1568</v>
      </c>
      <c r="P402" s="1129"/>
      <c r="Q402" s="1129" t="s">
        <v>1569</v>
      </c>
    </row>
    <row r="403" spans="3:17">
      <c r="C403" s="1852" t="s">
        <v>1576</v>
      </c>
      <c r="E403" s="1853" t="s">
        <v>1688</v>
      </c>
      <c r="G403" s="1855" t="s">
        <v>380</v>
      </c>
      <c r="H403" s="1855"/>
      <c r="I403" s="1855"/>
      <c r="K403" s="1269"/>
      <c r="M403" s="1727" t="str">
        <f>M11</f>
        <v>December 31, 2021</v>
      </c>
      <c r="Q403" s="1270" t="str">
        <f>Q11</f>
        <v>December 31, 2022</v>
      </c>
    </row>
    <row r="404" spans="3:17" ht="25">
      <c r="C404" s="1831"/>
      <c r="E404" s="1854"/>
      <c r="G404" s="1856"/>
      <c r="H404" s="1856"/>
      <c r="I404" s="1856"/>
      <c r="J404" s="1271"/>
      <c r="K404" s="1272" t="s">
        <v>1670</v>
      </c>
      <c r="M404" s="1362" t="s">
        <v>1671</v>
      </c>
      <c r="O404" s="1362" t="s">
        <v>1669</v>
      </c>
      <c r="Q404" s="1362" t="s">
        <v>1672</v>
      </c>
    </row>
    <row r="405" spans="3:17" ht="5.15" customHeight="1"/>
    <row r="406" spans="3:17">
      <c r="C406" s="1131">
        <f>C397+1</f>
        <v>196</v>
      </c>
      <c r="E406" s="1260" t="s">
        <v>1689</v>
      </c>
      <c r="K406" s="1263">
        <v>0</v>
      </c>
      <c r="L406" s="1262"/>
      <c r="M406" s="1263">
        <v>0</v>
      </c>
      <c r="N406" s="1262"/>
      <c r="O406" s="1263">
        <v>0</v>
      </c>
      <c r="P406" s="1262"/>
      <c r="Q406" s="1263">
        <v>0</v>
      </c>
    </row>
    <row r="407" spans="3:17">
      <c r="C407" s="1131">
        <f>C406+1</f>
        <v>197</v>
      </c>
      <c r="E407" s="1260" t="s">
        <v>1690</v>
      </c>
      <c r="K407" s="1264">
        <f>K397</f>
        <v>-3321760.5565755144</v>
      </c>
      <c r="M407" s="1264">
        <f>M397</f>
        <v>-1056298.158552241</v>
      </c>
      <c r="O407" s="1264">
        <f>O397</f>
        <v>656174.06098587858</v>
      </c>
      <c r="Q407" s="1264">
        <f>Q397</f>
        <v>-400124.09756636247</v>
      </c>
    </row>
    <row r="408" spans="3:17" ht="5.15" customHeight="1">
      <c r="K408" s="1280"/>
      <c r="M408" s="1280"/>
      <c r="O408" s="1280"/>
      <c r="Q408" s="1280"/>
    </row>
    <row r="409" spans="3:17" ht="13">
      <c r="C409" s="1131">
        <f>C407+1</f>
        <v>198</v>
      </c>
      <c r="E409" s="1128" t="s">
        <v>1691</v>
      </c>
      <c r="K409" s="1265">
        <f>SUM(K406:K408)</f>
        <v>-3321760.5565755144</v>
      </c>
      <c r="L409" s="1265"/>
      <c r="M409" s="1265">
        <f>SUM(M406:M408)</f>
        <v>-1056298.158552241</v>
      </c>
      <c r="N409" s="1262"/>
      <c r="O409" s="1265">
        <f>SUM(O406:O408)</f>
        <v>656174.06098587858</v>
      </c>
      <c r="P409" s="1262"/>
      <c r="Q409" s="1265">
        <f>SUM(Q406:Q408)</f>
        <v>-400124.09756636247</v>
      </c>
    </row>
    <row r="410" spans="3:17">
      <c r="K410" s="1282"/>
    </row>
    <row r="412" spans="3:17" ht="15.5">
      <c r="E412" s="1849" t="s">
        <v>1702</v>
      </c>
      <c r="F412" s="1849"/>
      <c r="G412" s="1849"/>
      <c r="H412" s="1849"/>
      <c r="I412" s="1849"/>
      <c r="J412" s="1849"/>
      <c r="K412" s="1849"/>
      <c r="L412" s="1849"/>
      <c r="M412" s="1849"/>
      <c r="N412" s="1849"/>
      <c r="O412" s="1849"/>
      <c r="P412" s="1849"/>
      <c r="Q412" s="1849"/>
    </row>
    <row r="414" spans="3:17" ht="15.5">
      <c r="E414" s="1857" t="s">
        <v>1703</v>
      </c>
      <c r="F414" s="1858"/>
      <c r="G414" s="1858"/>
      <c r="H414" s="1858"/>
      <c r="I414" s="1858"/>
      <c r="J414" s="1858"/>
      <c r="K414" s="1858"/>
      <c r="L414" s="1858"/>
      <c r="M414" s="1858"/>
      <c r="N414" s="1858"/>
      <c r="O414" s="1858"/>
      <c r="P414" s="1858"/>
      <c r="Q414" s="1859"/>
    </row>
    <row r="416" spans="3:17" ht="13">
      <c r="E416" s="1129" t="s">
        <v>216</v>
      </c>
      <c r="F416" s="1129"/>
      <c r="G416" s="1129" t="s">
        <v>217</v>
      </c>
      <c r="H416" s="1129"/>
      <c r="I416" s="1129" t="s">
        <v>1318</v>
      </c>
      <c r="J416" s="1129"/>
      <c r="K416" s="1129" t="s">
        <v>1566</v>
      </c>
      <c r="L416" s="1129"/>
      <c r="M416" s="1129" t="s">
        <v>1666</v>
      </c>
      <c r="N416" s="1129"/>
      <c r="O416" s="1129" t="s">
        <v>1568</v>
      </c>
      <c r="P416" s="1129"/>
      <c r="Q416" s="1129" t="s">
        <v>1569</v>
      </c>
    </row>
    <row r="417" spans="1:19">
      <c r="C417" s="1852" t="s">
        <v>1576</v>
      </c>
      <c r="E417" s="1853" t="s">
        <v>1688</v>
      </c>
      <c r="G417" s="1855" t="s">
        <v>380</v>
      </c>
      <c r="H417" s="1855"/>
      <c r="I417" s="1855"/>
      <c r="K417" s="1269"/>
      <c r="M417" s="1727" t="str">
        <f>M11</f>
        <v>December 31, 2021</v>
      </c>
      <c r="Q417" s="1270" t="str">
        <f>Q11</f>
        <v>December 31, 2022</v>
      </c>
    </row>
    <row r="418" spans="1:19" ht="25">
      <c r="C418" s="1831"/>
      <c r="E418" s="1854"/>
      <c r="G418" s="1856"/>
      <c r="H418" s="1856"/>
      <c r="I418" s="1856"/>
      <c r="J418" s="1271"/>
      <c r="K418" s="1272" t="s">
        <v>1670</v>
      </c>
      <c r="M418" s="1362" t="s">
        <v>1671</v>
      </c>
      <c r="O418" s="1362" t="s">
        <v>1669</v>
      </c>
      <c r="Q418" s="1362" t="s">
        <v>1672</v>
      </c>
    </row>
    <row r="419" spans="1:19" ht="5.15" customHeight="1"/>
    <row r="420" spans="1:19">
      <c r="C420" s="1131">
        <f>C409+1</f>
        <v>199</v>
      </c>
      <c r="E420" s="1260" t="s">
        <v>1689</v>
      </c>
      <c r="K420" s="1263">
        <f>K121+K406</f>
        <v>0</v>
      </c>
      <c r="L420" s="1262"/>
      <c r="M420" s="1263">
        <f>M121+M406</f>
        <v>0</v>
      </c>
      <c r="N420" s="1262"/>
      <c r="O420" s="1263">
        <f>O121+O406</f>
        <v>0</v>
      </c>
      <c r="P420" s="1262"/>
      <c r="Q420" s="1263">
        <f>Q121+Q406</f>
        <v>0</v>
      </c>
    </row>
    <row r="421" spans="1:19">
      <c r="C421" s="1131">
        <f>C420+1</f>
        <v>200</v>
      </c>
      <c r="E421" s="1260" t="s">
        <v>1690</v>
      </c>
      <c r="K421" s="1279">
        <f>K122+K407</f>
        <v>-150414122.69390914</v>
      </c>
      <c r="M421" s="1279">
        <f>M122+M407</f>
        <v>-82685299.169690013</v>
      </c>
      <c r="O421" s="1279">
        <f>O122+O407</f>
        <v>15201365.631516697</v>
      </c>
      <c r="Q421" s="1279">
        <f>Q122+Q407</f>
        <v>-67483933.538173318</v>
      </c>
    </row>
    <row r="422" spans="1:19" ht="5.15" customHeight="1">
      <c r="K422" s="1280"/>
      <c r="M422" s="1280"/>
      <c r="O422" s="1280"/>
      <c r="Q422" s="1280"/>
    </row>
    <row r="423" spans="1:19" ht="13">
      <c r="C423" s="1131">
        <f>C421+1</f>
        <v>201</v>
      </c>
      <c r="E423" s="1128" t="s">
        <v>1691</v>
      </c>
      <c r="K423" s="1265">
        <f>SUM(K420:K422)</f>
        <v>-150414122.69390914</v>
      </c>
      <c r="L423" s="1265"/>
      <c r="M423" s="1265">
        <f>SUM(M420:M422)</f>
        <v>-82685299.169690013</v>
      </c>
      <c r="N423" s="1262"/>
      <c r="O423" s="1265">
        <f>SUM(O420:O422)</f>
        <v>15201365.631516697</v>
      </c>
      <c r="P423" s="1262"/>
      <c r="Q423" s="1265">
        <f>SUM(Q420:Q422)</f>
        <v>-67483933.538173318</v>
      </c>
    </row>
    <row r="427" spans="1:19" ht="18">
      <c r="A427" s="885"/>
      <c r="B427" s="885" t="s">
        <v>1704</v>
      </c>
      <c r="C427" s="885"/>
      <c r="D427" s="885"/>
      <c r="E427" s="885"/>
      <c r="F427" s="885"/>
      <c r="G427" s="885"/>
      <c r="H427" s="885"/>
      <c r="I427" s="885"/>
      <c r="J427" s="885"/>
      <c r="K427" s="885"/>
      <c r="L427" s="885"/>
      <c r="M427" s="885"/>
      <c r="N427" s="885"/>
      <c r="O427" s="885"/>
      <c r="P427" s="885"/>
      <c r="Q427" s="885"/>
      <c r="R427" s="885"/>
      <c r="S427" s="885"/>
    </row>
    <row r="428" spans="1:19">
      <c r="A428" s="101"/>
      <c r="B428" s="101"/>
      <c r="C428" s="101"/>
      <c r="D428" s="101"/>
      <c r="E428" s="101"/>
      <c r="F428" s="101"/>
      <c r="G428" s="101"/>
      <c r="H428" s="101"/>
      <c r="I428" s="101"/>
      <c r="J428" s="101"/>
      <c r="K428" s="101"/>
      <c r="L428" s="101"/>
      <c r="M428" s="101"/>
      <c r="N428" s="101"/>
      <c r="O428" s="101"/>
      <c r="P428" s="101"/>
      <c r="Q428" s="101"/>
    </row>
    <row r="429" spans="1:19">
      <c r="A429" s="101"/>
      <c r="B429" s="1851" t="s">
        <v>1705</v>
      </c>
      <c r="C429" s="1851"/>
      <c r="D429" s="1851"/>
      <c r="E429" s="1851"/>
      <c r="F429" s="1851"/>
      <c r="G429" s="1851"/>
      <c r="H429" s="1851"/>
      <c r="I429" s="1851"/>
      <c r="J429" s="1851"/>
      <c r="K429" s="1851"/>
      <c r="L429" s="1851"/>
      <c r="M429" s="1851"/>
      <c r="N429" s="1851"/>
      <c r="O429" s="1851"/>
      <c r="P429" s="1851"/>
      <c r="Q429" s="1851"/>
    </row>
    <row r="430" spans="1:19">
      <c r="A430" s="101"/>
      <c r="B430" s="1851"/>
      <c r="C430" s="1851"/>
      <c r="D430" s="1851"/>
      <c r="E430" s="1851"/>
      <c r="F430" s="1851"/>
      <c r="G430" s="1851"/>
      <c r="H430" s="1851"/>
      <c r="I430" s="1851"/>
      <c r="J430" s="1851"/>
      <c r="K430" s="1851"/>
      <c r="L430" s="1851"/>
      <c r="M430" s="1851"/>
      <c r="N430" s="1851"/>
      <c r="O430" s="1851"/>
      <c r="P430" s="1851"/>
      <c r="Q430" s="1851"/>
    </row>
    <row r="431" spans="1:19">
      <c r="A431" s="101"/>
      <c r="B431" s="1851"/>
      <c r="C431" s="1851"/>
      <c r="D431" s="1851"/>
      <c r="E431" s="1851"/>
      <c r="F431" s="1851"/>
      <c r="G431" s="1851"/>
      <c r="H431" s="1851"/>
      <c r="I431" s="1851"/>
      <c r="J431" s="1851"/>
      <c r="K431" s="1851"/>
      <c r="L431" s="1851"/>
      <c r="M431" s="1851"/>
      <c r="N431" s="1851"/>
      <c r="O431" s="1851"/>
      <c r="P431" s="1851"/>
      <c r="Q431" s="1851"/>
    </row>
    <row r="432" spans="1:19">
      <c r="A432" s="101"/>
      <c r="B432" s="1851" t="s">
        <v>1706</v>
      </c>
      <c r="C432" s="1851"/>
      <c r="D432" s="1851"/>
      <c r="E432" s="1851"/>
      <c r="F432" s="1851"/>
      <c r="G432" s="1851"/>
      <c r="H432" s="1851"/>
      <c r="I432" s="1851"/>
      <c r="J432" s="1851"/>
      <c r="K432" s="1851"/>
      <c r="L432" s="1851"/>
      <c r="M432" s="1851"/>
      <c r="N432" s="1851"/>
      <c r="O432" s="1851"/>
      <c r="P432" s="1851"/>
      <c r="Q432" s="1851"/>
    </row>
    <row r="433" spans="1:19">
      <c r="A433" s="101"/>
      <c r="B433" s="1851"/>
      <c r="C433" s="1851"/>
      <c r="D433" s="1851"/>
      <c r="E433" s="1851"/>
      <c r="F433" s="1851"/>
      <c r="G433" s="1851"/>
      <c r="H433" s="1851"/>
      <c r="I433" s="1851"/>
      <c r="J433" s="1851"/>
      <c r="K433" s="1851"/>
      <c r="L433" s="1851"/>
      <c r="M433" s="1851"/>
      <c r="N433" s="1851"/>
      <c r="O433" s="1851"/>
      <c r="P433" s="1851"/>
      <c r="Q433" s="1851"/>
    </row>
    <row r="434" spans="1:19">
      <c r="A434" s="101"/>
      <c r="B434" s="1851"/>
      <c r="C434" s="1851"/>
      <c r="D434" s="1851"/>
      <c r="E434" s="1851"/>
      <c r="F434" s="1851"/>
      <c r="G434" s="1851"/>
      <c r="H434" s="1851"/>
      <c r="I434" s="1851"/>
      <c r="J434" s="1851"/>
      <c r="K434" s="1851"/>
      <c r="L434" s="1851"/>
      <c r="M434" s="1851"/>
      <c r="N434" s="1851"/>
      <c r="O434" s="1851"/>
      <c r="P434" s="1851"/>
      <c r="Q434" s="1851"/>
    </row>
    <row r="435" spans="1:19">
      <c r="A435" s="101"/>
      <c r="B435" s="1851" t="s">
        <v>1707</v>
      </c>
      <c r="C435" s="1851"/>
      <c r="D435" s="1851"/>
      <c r="E435" s="1851"/>
      <c r="F435" s="1851"/>
      <c r="G435" s="1851"/>
      <c r="H435" s="1851"/>
      <c r="I435" s="1851"/>
      <c r="J435" s="1851"/>
      <c r="K435" s="1851"/>
      <c r="L435" s="1851"/>
      <c r="M435" s="1851"/>
      <c r="N435" s="1851"/>
      <c r="O435" s="1851"/>
      <c r="P435" s="1851"/>
      <c r="Q435" s="1851"/>
    </row>
    <row r="436" spans="1:19">
      <c r="A436" s="101"/>
      <c r="B436" s="1851"/>
      <c r="C436" s="1851"/>
      <c r="D436" s="1851"/>
      <c r="E436" s="1851"/>
      <c r="F436" s="1851"/>
      <c r="G436" s="1851"/>
      <c r="H436" s="1851"/>
      <c r="I436" s="1851"/>
      <c r="J436" s="1851"/>
      <c r="K436" s="1851"/>
      <c r="L436" s="1851"/>
      <c r="M436" s="1851"/>
      <c r="N436" s="1851"/>
      <c r="O436" s="1851"/>
      <c r="P436" s="1851"/>
      <c r="Q436" s="1851"/>
    </row>
    <row r="437" spans="1:19">
      <c r="A437" s="101"/>
      <c r="B437" s="1851"/>
      <c r="C437" s="1851"/>
      <c r="D437" s="1851"/>
      <c r="E437" s="1851"/>
      <c r="F437" s="1851"/>
      <c r="G437" s="1851"/>
      <c r="H437" s="1851"/>
      <c r="I437" s="1851"/>
      <c r="J437" s="1851"/>
      <c r="K437" s="1851"/>
      <c r="L437" s="1851"/>
      <c r="M437" s="1851"/>
      <c r="N437" s="1851"/>
      <c r="O437" s="1851"/>
      <c r="P437" s="1851"/>
      <c r="Q437" s="1851"/>
    </row>
    <row r="438" spans="1:19">
      <c r="A438" s="101"/>
      <c r="B438" s="1851" t="s">
        <v>1708</v>
      </c>
      <c r="C438" s="1851"/>
      <c r="D438" s="1851"/>
      <c r="E438" s="1851"/>
      <c r="F438" s="1851"/>
      <c r="G438" s="1851"/>
      <c r="H438" s="1851"/>
      <c r="I438" s="1851"/>
      <c r="J438" s="1851"/>
      <c r="K438" s="1851"/>
      <c r="L438" s="1851"/>
      <c r="M438" s="1851"/>
      <c r="N438" s="1851"/>
      <c r="O438" s="1851"/>
      <c r="P438" s="1851"/>
      <c r="Q438" s="1851"/>
    </row>
    <row r="439" spans="1:19">
      <c r="A439" s="101"/>
      <c r="B439" s="1851"/>
      <c r="C439" s="1851"/>
      <c r="D439" s="1851"/>
      <c r="E439" s="1851"/>
      <c r="F439" s="1851"/>
      <c r="G439" s="1851"/>
      <c r="H439" s="1851"/>
      <c r="I439" s="1851"/>
      <c r="J439" s="1851"/>
      <c r="K439" s="1851"/>
      <c r="L439" s="1851"/>
      <c r="M439" s="1851"/>
      <c r="N439" s="1851"/>
      <c r="O439" s="1851"/>
      <c r="P439" s="1851"/>
      <c r="Q439" s="1851"/>
    </row>
    <row r="440" spans="1:19">
      <c r="A440" s="101"/>
      <c r="B440" s="1363"/>
      <c r="C440" s="1363"/>
      <c r="D440" s="1363"/>
      <c r="E440" s="1363"/>
      <c r="F440" s="1363"/>
      <c r="G440" s="1363"/>
      <c r="H440" s="1363"/>
      <c r="I440" s="1363"/>
      <c r="J440" s="1363"/>
      <c r="K440" s="1363"/>
      <c r="L440" s="1363"/>
      <c r="M440" s="1363"/>
      <c r="N440" s="1363"/>
      <c r="O440" s="1363"/>
      <c r="P440" s="1363"/>
      <c r="Q440" s="1363"/>
    </row>
    <row r="441" spans="1:19" ht="18">
      <c r="A441" s="885"/>
      <c r="B441" s="885" t="s">
        <v>1078</v>
      </c>
      <c r="C441" s="885"/>
      <c r="D441" s="885"/>
      <c r="E441" s="885"/>
      <c r="F441" s="885"/>
      <c r="G441" s="885"/>
      <c r="H441" s="885"/>
      <c r="I441" s="885"/>
      <c r="J441" s="885"/>
      <c r="K441" s="885"/>
      <c r="L441" s="885"/>
      <c r="M441" s="885"/>
      <c r="N441" s="885"/>
      <c r="O441" s="885"/>
      <c r="P441" s="885"/>
      <c r="Q441" s="885"/>
      <c r="R441" s="885"/>
      <c r="S441" s="885"/>
    </row>
    <row r="442" spans="1:19">
      <c r="A442" s="101"/>
      <c r="B442" s="101"/>
      <c r="C442" s="101"/>
      <c r="D442" s="101"/>
      <c r="E442" s="101"/>
      <c r="F442" s="101"/>
      <c r="G442" s="101"/>
      <c r="H442" s="101"/>
      <c r="I442" s="101" t="s">
        <v>101</v>
      </c>
      <c r="J442" s="101"/>
      <c r="K442" s="101"/>
      <c r="L442" s="101"/>
      <c r="M442" s="101"/>
      <c r="N442" s="101"/>
      <c r="O442" s="101"/>
      <c r="P442" s="101"/>
      <c r="Q442" s="101"/>
    </row>
    <row r="443" spans="1:19" ht="12.75" customHeight="1">
      <c r="A443" s="101"/>
      <c r="B443" s="101" t="s">
        <v>9</v>
      </c>
      <c r="C443" s="1851" t="s">
        <v>1709</v>
      </c>
      <c r="D443" s="1851"/>
      <c r="E443" s="1851"/>
      <c r="F443" s="1851"/>
      <c r="G443" s="1851"/>
      <c r="H443" s="1851"/>
      <c r="I443" s="1851"/>
      <c r="J443" s="1851"/>
      <c r="K443" s="1851"/>
      <c r="L443" s="1851"/>
      <c r="M443" s="1851"/>
      <c r="N443" s="1851"/>
      <c r="O443" s="1851"/>
      <c r="P443" s="1851"/>
      <c r="Q443" s="1851"/>
    </row>
    <row r="444" spans="1:19">
      <c r="A444" s="101"/>
      <c r="B444" s="101"/>
      <c r="C444" s="1851"/>
      <c r="D444" s="1851"/>
      <c r="E444" s="1851"/>
      <c r="F444" s="1851"/>
      <c r="G444" s="1851"/>
      <c r="H444" s="1851"/>
      <c r="I444" s="1851"/>
      <c r="J444" s="1851"/>
      <c r="K444" s="1851"/>
      <c r="L444" s="1851"/>
      <c r="M444" s="1851"/>
      <c r="N444" s="1851"/>
      <c r="O444" s="1851"/>
      <c r="P444" s="1851"/>
      <c r="Q444" s="1851"/>
    </row>
    <row r="445" spans="1:19">
      <c r="A445" s="101"/>
      <c r="B445" s="101"/>
      <c r="C445" s="1851"/>
      <c r="D445" s="1851"/>
      <c r="E445" s="1851"/>
      <c r="F445" s="1851"/>
      <c r="G445" s="1851"/>
      <c r="H445" s="1851"/>
      <c r="I445" s="1851"/>
      <c r="J445" s="1851"/>
      <c r="K445" s="1851"/>
      <c r="L445" s="1851"/>
      <c r="M445" s="1851"/>
      <c r="N445" s="1851"/>
      <c r="O445" s="1851"/>
      <c r="P445" s="1851"/>
      <c r="Q445" s="1851"/>
    </row>
    <row r="446" spans="1:19">
      <c r="A446" s="101"/>
      <c r="B446" s="101"/>
      <c r="C446" s="1851"/>
      <c r="D446" s="1851"/>
      <c r="E446" s="1851"/>
      <c r="F446" s="1851"/>
      <c r="G446" s="1851"/>
      <c r="H446" s="1851"/>
      <c r="I446" s="1851"/>
      <c r="J446" s="1851"/>
      <c r="K446" s="1851"/>
      <c r="L446" s="1851"/>
      <c r="M446" s="1851"/>
      <c r="N446" s="1851"/>
      <c r="O446" s="1851"/>
      <c r="P446" s="1851"/>
      <c r="Q446" s="1851"/>
    </row>
    <row r="447" spans="1:19">
      <c r="A447" s="101"/>
      <c r="B447" s="101"/>
      <c r="C447" s="1851"/>
      <c r="D447" s="1851"/>
      <c r="E447" s="1851"/>
      <c r="F447" s="1851"/>
      <c r="G447" s="1851"/>
      <c r="H447" s="1851"/>
      <c r="I447" s="1851"/>
      <c r="J447" s="1851"/>
      <c r="K447" s="1851"/>
      <c r="L447" s="1851"/>
      <c r="M447" s="1851"/>
      <c r="N447" s="1851"/>
      <c r="O447" s="1851"/>
      <c r="P447" s="1851"/>
      <c r="Q447" s="1851"/>
    </row>
    <row r="448" spans="1:19">
      <c r="A448" s="101"/>
      <c r="B448" s="101"/>
      <c r="C448" s="1851"/>
      <c r="D448" s="1851"/>
      <c r="E448" s="1851"/>
      <c r="F448" s="1851"/>
      <c r="G448" s="1851"/>
      <c r="H448" s="1851"/>
      <c r="I448" s="1851"/>
      <c r="J448" s="1851"/>
      <c r="K448" s="1851"/>
      <c r="L448" s="1851"/>
      <c r="M448" s="1851"/>
      <c r="N448" s="1851"/>
      <c r="O448" s="1851"/>
      <c r="P448" s="1851"/>
      <c r="Q448" s="1851"/>
    </row>
    <row r="449" spans="1:17">
      <c r="A449" s="101"/>
      <c r="B449" s="101"/>
      <c r="C449" s="1851"/>
      <c r="D449" s="1851"/>
      <c r="E449" s="1851"/>
      <c r="F449" s="1851"/>
      <c r="G449" s="1851"/>
      <c r="H449" s="1851"/>
      <c r="I449" s="1851"/>
      <c r="J449" s="1851"/>
      <c r="K449" s="1851"/>
      <c r="L449" s="1851"/>
      <c r="M449" s="1851"/>
      <c r="N449" s="1851"/>
      <c r="O449" s="1851"/>
      <c r="P449" s="1851"/>
      <c r="Q449" s="1851"/>
    </row>
    <row r="450" spans="1:17" ht="12.75" customHeight="1">
      <c r="A450" s="101"/>
      <c r="B450" s="101" t="s">
        <v>10</v>
      </c>
      <c r="C450" s="1851" t="s">
        <v>2152</v>
      </c>
      <c r="D450" s="1851"/>
      <c r="E450" s="1851"/>
      <c r="F450" s="1851"/>
      <c r="G450" s="1851"/>
      <c r="H450" s="1851"/>
      <c r="I450" s="1851"/>
      <c r="J450" s="1851"/>
      <c r="K450" s="1851"/>
      <c r="L450" s="1851"/>
      <c r="M450" s="1851"/>
      <c r="N450" s="1851"/>
      <c r="O450" s="1851"/>
      <c r="P450" s="1851"/>
      <c r="Q450" s="1851"/>
    </row>
    <row r="451" spans="1:17" ht="12.75" customHeight="1">
      <c r="A451" s="101"/>
      <c r="B451" s="101"/>
      <c r="C451" s="1851"/>
      <c r="D451" s="1851"/>
      <c r="E451" s="1851"/>
      <c r="F451" s="1851"/>
      <c r="G451" s="1851"/>
      <c r="H451" s="1851"/>
      <c r="I451" s="1851"/>
      <c r="J451" s="1851"/>
      <c r="K451" s="1851"/>
      <c r="L451" s="1851"/>
      <c r="M451" s="1851"/>
      <c r="N451" s="1851"/>
      <c r="O451" s="1851"/>
      <c r="P451" s="1851"/>
      <c r="Q451" s="1851"/>
    </row>
    <row r="452" spans="1:17">
      <c r="A452" s="101"/>
      <c r="B452" s="101"/>
      <c r="C452" s="1851"/>
      <c r="D452" s="1851"/>
      <c r="E452" s="1851"/>
      <c r="F452" s="1851"/>
      <c r="G452" s="1851"/>
      <c r="H452" s="1851"/>
      <c r="I452" s="1851"/>
      <c r="J452" s="1851"/>
      <c r="K452" s="1851"/>
      <c r="L452" s="1851"/>
      <c r="M452" s="1851"/>
      <c r="N452" s="1851"/>
      <c r="O452" s="1851"/>
      <c r="P452" s="1851"/>
      <c r="Q452" s="1851"/>
    </row>
    <row r="453" spans="1:17" ht="12.75" customHeight="1">
      <c r="A453" s="101"/>
      <c r="B453" s="101" t="s">
        <v>11</v>
      </c>
      <c r="C453" s="1851" t="s">
        <v>1710</v>
      </c>
      <c r="D453" s="1851"/>
      <c r="E453" s="1851"/>
      <c r="F453" s="1851"/>
      <c r="G453" s="1851"/>
      <c r="H453" s="1851"/>
      <c r="I453" s="1851"/>
      <c r="J453" s="1851"/>
      <c r="K453" s="1851"/>
      <c r="L453" s="1851"/>
      <c r="M453" s="1851"/>
      <c r="N453" s="1851"/>
      <c r="O453" s="1851"/>
      <c r="P453" s="1851"/>
      <c r="Q453" s="1851"/>
    </row>
    <row r="454" spans="1:17" ht="12.75" customHeight="1">
      <c r="A454" s="101"/>
      <c r="B454" s="101"/>
      <c r="C454" s="1851"/>
      <c r="D454" s="1851"/>
      <c r="E454" s="1851"/>
      <c r="F454" s="1851"/>
      <c r="G454" s="1851"/>
      <c r="H454" s="1851"/>
      <c r="I454" s="1851"/>
      <c r="J454" s="1851"/>
      <c r="K454" s="1851"/>
      <c r="L454" s="1851"/>
      <c r="M454" s="1851"/>
      <c r="N454" s="1851"/>
      <c r="O454" s="1851"/>
      <c r="P454" s="1851"/>
      <c r="Q454" s="1851"/>
    </row>
    <row r="455" spans="1:17" ht="12.75" customHeight="1">
      <c r="A455" s="101"/>
      <c r="B455" s="101"/>
      <c r="C455" s="1851"/>
      <c r="D455" s="1851"/>
      <c r="E455" s="1851"/>
      <c r="F455" s="1851"/>
      <c r="G455" s="1851"/>
      <c r="H455" s="1851"/>
      <c r="I455" s="1851"/>
      <c r="J455" s="1851"/>
      <c r="K455" s="1851"/>
      <c r="L455" s="1851"/>
      <c r="M455" s="1851"/>
      <c r="N455" s="1851"/>
      <c r="O455" s="1851"/>
      <c r="P455" s="1851"/>
      <c r="Q455" s="1851"/>
    </row>
    <row r="456" spans="1:17" ht="12.75" customHeight="1">
      <c r="A456" s="101"/>
      <c r="B456" s="101"/>
      <c r="C456" s="1851"/>
      <c r="D456" s="1851"/>
      <c r="E456" s="1851"/>
      <c r="F456" s="1851"/>
      <c r="G456" s="1851"/>
      <c r="H456" s="1851"/>
      <c r="I456" s="1851"/>
      <c r="J456" s="1851"/>
      <c r="K456" s="1851"/>
      <c r="L456" s="1851"/>
      <c r="M456" s="1851"/>
      <c r="N456" s="1851"/>
      <c r="O456" s="1851"/>
      <c r="P456" s="1851"/>
      <c r="Q456" s="1851"/>
    </row>
    <row r="457" spans="1:17" ht="12.75" customHeight="1">
      <c r="A457" s="101"/>
      <c r="B457" s="101"/>
      <c r="C457" s="1851"/>
      <c r="D457" s="1851"/>
      <c r="E457" s="1851"/>
      <c r="F457" s="1851"/>
      <c r="G457" s="1851"/>
      <c r="H457" s="1851"/>
      <c r="I457" s="1851"/>
      <c r="J457" s="1851"/>
      <c r="K457" s="1851"/>
      <c r="L457" s="1851"/>
      <c r="M457" s="1851"/>
      <c r="N457" s="1851"/>
      <c r="O457" s="1851"/>
      <c r="P457" s="1851"/>
      <c r="Q457" s="1851"/>
    </row>
    <row r="458" spans="1:17" ht="12.75" customHeight="1">
      <c r="A458" s="101"/>
      <c r="B458" s="101"/>
      <c r="C458" s="1851"/>
      <c r="D458" s="1851"/>
      <c r="E458" s="1851"/>
      <c r="F458" s="1851"/>
      <c r="G458" s="1851"/>
      <c r="H458" s="1851"/>
      <c r="I458" s="1851"/>
      <c r="J458" s="1851"/>
      <c r="K458" s="1851"/>
      <c r="L458" s="1851"/>
      <c r="M458" s="1851"/>
      <c r="N458" s="1851"/>
      <c r="O458" s="1851"/>
      <c r="P458" s="1851"/>
      <c r="Q458" s="1851"/>
    </row>
    <row r="459" spans="1:17">
      <c r="A459" s="101"/>
      <c r="B459" s="101"/>
      <c r="C459" s="1851"/>
      <c r="D459" s="1851"/>
      <c r="E459" s="1851"/>
      <c r="F459" s="1851"/>
      <c r="G459" s="1851"/>
      <c r="H459" s="1851"/>
      <c r="I459" s="1851"/>
      <c r="J459" s="1851"/>
      <c r="K459" s="1851"/>
      <c r="L459" s="1851"/>
      <c r="M459" s="1851"/>
      <c r="N459" s="1851"/>
      <c r="O459" s="1851"/>
      <c r="P459" s="1851"/>
      <c r="Q459" s="1851"/>
    </row>
    <row r="460" spans="1:17" ht="12.75" customHeight="1">
      <c r="A460" s="101"/>
      <c r="B460" s="101" t="s">
        <v>14</v>
      </c>
      <c r="C460" s="1851" t="s">
        <v>1711</v>
      </c>
      <c r="D460" s="1851"/>
      <c r="E460" s="1851"/>
      <c r="F460" s="1851"/>
      <c r="G460" s="1851"/>
      <c r="H460" s="1851"/>
      <c r="I460" s="1851"/>
      <c r="J460" s="1851"/>
      <c r="K460" s="1851"/>
      <c r="L460" s="1851"/>
      <c r="M460" s="1851"/>
      <c r="N460" s="1851"/>
      <c r="O460" s="1851"/>
      <c r="P460" s="1851"/>
      <c r="Q460" s="1851"/>
    </row>
    <row r="461" spans="1:17">
      <c r="A461" s="101"/>
      <c r="B461" s="101"/>
      <c r="C461" s="1851"/>
      <c r="D461" s="1851"/>
      <c r="E461" s="1851"/>
      <c r="F461" s="1851"/>
      <c r="G461" s="1851"/>
      <c r="H461" s="1851"/>
      <c r="I461" s="1851"/>
      <c r="J461" s="1851"/>
      <c r="K461" s="1851"/>
      <c r="L461" s="1851"/>
      <c r="M461" s="1851"/>
      <c r="N461" s="1851"/>
      <c r="O461" s="1851"/>
      <c r="P461" s="1851"/>
      <c r="Q461" s="1851"/>
    </row>
    <row r="462" spans="1:17">
      <c r="A462" s="101"/>
      <c r="B462" s="101"/>
      <c r="C462" s="1851"/>
      <c r="D462" s="1851"/>
      <c r="E462" s="1851"/>
      <c r="F462" s="1851"/>
      <c r="G462" s="1851"/>
      <c r="H462" s="1851"/>
      <c r="I462" s="1851"/>
      <c r="J462" s="1851"/>
      <c r="K462" s="1851"/>
      <c r="L462" s="1851"/>
      <c r="M462" s="1851"/>
      <c r="N462" s="1851"/>
      <c r="O462" s="1851"/>
      <c r="P462" s="1851"/>
      <c r="Q462" s="1851"/>
    </row>
    <row r="463" spans="1:17">
      <c r="A463" s="101"/>
      <c r="B463" s="101"/>
      <c r="C463" s="1851"/>
      <c r="D463" s="1851"/>
      <c r="E463" s="1851"/>
      <c r="F463" s="1851"/>
      <c r="G463" s="1851"/>
      <c r="H463" s="1851"/>
      <c r="I463" s="1851"/>
      <c r="J463" s="1851"/>
      <c r="K463" s="1851"/>
      <c r="L463" s="1851"/>
      <c r="M463" s="1851"/>
      <c r="N463" s="1851"/>
      <c r="O463" s="1851"/>
      <c r="P463" s="1851"/>
      <c r="Q463" s="1851"/>
    </row>
    <row r="464" spans="1:17">
      <c r="A464" s="101"/>
      <c r="B464" s="101"/>
      <c r="C464" s="1851"/>
      <c r="D464" s="1851"/>
      <c r="E464" s="1851"/>
      <c r="F464" s="1851"/>
      <c r="G464" s="1851"/>
      <c r="H464" s="1851"/>
      <c r="I464" s="1851"/>
      <c r="J464" s="1851"/>
      <c r="K464" s="1851"/>
      <c r="L464" s="1851"/>
      <c r="M464" s="1851"/>
      <c r="N464" s="1851"/>
      <c r="O464" s="1851"/>
      <c r="P464" s="1851"/>
      <c r="Q464" s="1851"/>
    </row>
    <row r="465" spans="1:17">
      <c r="A465" s="101"/>
      <c r="B465" s="101"/>
      <c r="C465" s="1851"/>
      <c r="D465" s="1851"/>
      <c r="E465" s="1851"/>
      <c r="F465" s="1851"/>
      <c r="G465" s="1851"/>
      <c r="H465" s="1851"/>
      <c r="I465" s="1851"/>
      <c r="J465" s="1851"/>
      <c r="K465" s="1851"/>
      <c r="L465" s="1851"/>
      <c r="M465" s="1851"/>
      <c r="N465" s="1851"/>
      <c r="O465" s="1851"/>
      <c r="P465" s="1851"/>
      <c r="Q465" s="1851"/>
    </row>
    <row r="466" spans="1:17">
      <c r="A466" s="101"/>
      <c r="B466" s="101"/>
      <c r="C466" s="1851"/>
      <c r="D466" s="1851"/>
      <c r="E466" s="1851"/>
      <c r="F466" s="1851"/>
      <c r="G466" s="1851"/>
      <c r="H466" s="1851"/>
      <c r="I466" s="1851"/>
      <c r="J466" s="1851"/>
      <c r="K466" s="1851"/>
      <c r="L466" s="1851"/>
      <c r="M466" s="1851"/>
      <c r="N466" s="1851"/>
      <c r="O466" s="1851"/>
      <c r="P466" s="1851"/>
      <c r="Q466" s="1851"/>
    </row>
    <row r="467" spans="1:17" ht="12.75" customHeight="1">
      <c r="A467" s="101"/>
      <c r="B467" s="101" t="s">
        <v>166</v>
      </c>
      <c r="C467" s="1851" t="s">
        <v>1712</v>
      </c>
      <c r="D467" s="1851"/>
      <c r="E467" s="1851"/>
      <c r="F467" s="1851"/>
      <c r="G467" s="1851"/>
      <c r="H467" s="1851"/>
      <c r="I467" s="1851"/>
      <c r="J467" s="1851"/>
      <c r="K467" s="1851"/>
      <c r="L467" s="1851"/>
      <c r="M467" s="1851"/>
      <c r="N467" s="1851"/>
      <c r="O467" s="1851"/>
      <c r="P467" s="1851"/>
      <c r="Q467" s="1851"/>
    </row>
    <row r="468" spans="1:17">
      <c r="A468" s="101"/>
      <c r="B468" s="101"/>
      <c r="C468" s="1851"/>
      <c r="D468" s="1851"/>
      <c r="E468" s="1851"/>
      <c r="F468" s="1851"/>
      <c r="G468" s="1851"/>
      <c r="H468" s="1851"/>
      <c r="I468" s="1851"/>
      <c r="J468" s="1851"/>
      <c r="K468" s="1851"/>
      <c r="L468" s="1851"/>
      <c r="M468" s="1851"/>
      <c r="N468" s="1851"/>
      <c r="O468" s="1851"/>
      <c r="P468" s="1851"/>
      <c r="Q468" s="1851"/>
    </row>
    <row r="469" spans="1:17">
      <c r="A469" s="101"/>
      <c r="B469" s="101"/>
      <c r="C469" s="1851"/>
      <c r="D469" s="1851"/>
      <c r="E469" s="1851"/>
      <c r="F469" s="1851"/>
      <c r="G469" s="1851"/>
      <c r="H469" s="1851"/>
      <c r="I469" s="1851"/>
      <c r="J469" s="1851"/>
      <c r="K469" s="1851"/>
      <c r="L469" s="1851"/>
      <c r="M469" s="1851"/>
      <c r="N469" s="1851"/>
      <c r="O469" s="1851"/>
      <c r="P469" s="1851"/>
      <c r="Q469" s="1851"/>
    </row>
    <row r="470" spans="1:17">
      <c r="A470" s="101"/>
      <c r="B470" s="101"/>
      <c r="C470" s="1851"/>
      <c r="D470" s="1851"/>
      <c r="E470" s="1851"/>
      <c r="F470" s="1851"/>
      <c r="G470" s="1851"/>
      <c r="H470" s="1851"/>
      <c r="I470" s="1851"/>
      <c r="J470" s="1851"/>
      <c r="K470" s="1851"/>
      <c r="L470" s="1851"/>
      <c r="M470" s="1851"/>
      <c r="N470" s="1851"/>
      <c r="O470" s="1851"/>
      <c r="P470" s="1851"/>
      <c r="Q470" s="1851"/>
    </row>
    <row r="471" spans="1:17">
      <c r="A471" s="101"/>
      <c r="B471" s="101"/>
      <c r="C471" s="1851"/>
      <c r="D471" s="1851"/>
      <c r="E471" s="1851"/>
      <c r="F471" s="1851"/>
      <c r="G471" s="1851"/>
      <c r="H471" s="1851"/>
      <c r="I471" s="1851"/>
      <c r="J471" s="1851"/>
      <c r="K471" s="1851"/>
      <c r="L471" s="1851"/>
      <c r="M471" s="1851"/>
      <c r="N471" s="1851"/>
      <c r="O471" s="1851"/>
      <c r="P471" s="1851"/>
      <c r="Q471" s="1851"/>
    </row>
    <row r="472" spans="1:17">
      <c r="A472" s="101"/>
      <c r="B472" s="101"/>
      <c r="C472" s="1851"/>
      <c r="D472" s="1851"/>
      <c r="E472" s="1851"/>
      <c r="F472" s="1851"/>
      <c r="G472" s="1851"/>
      <c r="H472" s="1851"/>
      <c r="I472" s="1851"/>
      <c r="J472" s="1851"/>
      <c r="K472" s="1851"/>
      <c r="L472" s="1851"/>
      <c r="M472" s="1851"/>
      <c r="N472" s="1851"/>
      <c r="O472" s="1851"/>
      <c r="P472" s="1851"/>
      <c r="Q472" s="1851"/>
    </row>
    <row r="473" spans="1:17">
      <c r="A473" s="101"/>
      <c r="B473" s="101"/>
      <c r="C473" s="1851"/>
      <c r="D473" s="1851"/>
      <c r="E473" s="1851"/>
      <c r="F473" s="1851"/>
      <c r="G473" s="1851"/>
      <c r="H473" s="1851"/>
      <c r="I473" s="1851"/>
      <c r="J473" s="1851"/>
      <c r="K473" s="1851"/>
      <c r="L473" s="1851"/>
      <c r="M473" s="1851"/>
      <c r="N473" s="1851"/>
      <c r="O473" s="1851"/>
      <c r="P473" s="1851"/>
      <c r="Q473" s="1851"/>
    </row>
    <row r="474" spans="1:17" ht="12.75" customHeight="1">
      <c r="A474" s="101"/>
      <c r="B474" s="101" t="s">
        <v>169</v>
      </c>
      <c r="C474" s="1851" t="s">
        <v>1713</v>
      </c>
      <c r="D474" s="1851"/>
      <c r="E474" s="1851"/>
      <c r="F474" s="1851"/>
      <c r="G474" s="1851"/>
      <c r="H474" s="1851"/>
      <c r="I474" s="1851"/>
      <c r="J474" s="1851"/>
      <c r="K474" s="1851"/>
      <c r="L474" s="1851"/>
      <c r="M474" s="1851"/>
      <c r="N474" s="1851"/>
      <c r="O474" s="1851"/>
      <c r="P474" s="1851"/>
      <c r="Q474" s="1851"/>
    </row>
    <row r="475" spans="1:17">
      <c r="A475" s="101"/>
      <c r="B475" s="101"/>
      <c r="C475" s="1851"/>
      <c r="D475" s="1851"/>
      <c r="E475" s="1851"/>
      <c r="F475" s="1851"/>
      <c r="G475" s="1851"/>
      <c r="H475" s="1851"/>
      <c r="I475" s="1851"/>
      <c r="J475" s="1851"/>
      <c r="K475" s="1851"/>
      <c r="L475" s="1851"/>
      <c r="M475" s="1851"/>
      <c r="N475" s="1851"/>
      <c r="O475" s="1851"/>
      <c r="P475" s="1851"/>
      <c r="Q475" s="1851"/>
    </row>
    <row r="476" spans="1:17">
      <c r="A476" s="101"/>
      <c r="B476" s="101"/>
      <c r="C476" s="1851"/>
      <c r="D476" s="1851"/>
      <c r="E476" s="1851"/>
      <c r="F476" s="1851"/>
      <c r="G476" s="1851"/>
      <c r="H476" s="1851"/>
      <c r="I476" s="1851"/>
      <c r="J476" s="1851"/>
      <c r="K476" s="1851"/>
      <c r="L476" s="1851"/>
      <c r="M476" s="1851"/>
      <c r="N476" s="1851"/>
      <c r="O476" s="1851"/>
      <c r="P476" s="1851"/>
      <c r="Q476" s="1851"/>
    </row>
    <row r="477" spans="1:17">
      <c r="A477" s="101"/>
      <c r="B477" s="101"/>
      <c r="C477" s="1851"/>
      <c r="D477" s="1851"/>
      <c r="E477" s="1851"/>
      <c r="F477" s="1851"/>
      <c r="G477" s="1851"/>
      <c r="H477" s="1851"/>
      <c r="I477" s="1851"/>
      <c r="J477" s="1851"/>
      <c r="K477" s="1851"/>
      <c r="L477" s="1851"/>
      <c r="M477" s="1851"/>
      <c r="N477" s="1851"/>
      <c r="O477" s="1851"/>
      <c r="P477" s="1851"/>
      <c r="Q477" s="1851"/>
    </row>
    <row r="478" spans="1:17">
      <c r="A478" s="101"/>
      <c r="B478" s="101"/>
      <c r="C478" s="1851"/>
      <c r="D478" s="1851"/>
      <c r="E478" s="1851"/>
      <c r="F478" s="1851"/>
      <c r="G478" s="1851"/>
      <c r="H478" s="1851"/>
      <c r="I478" s="1851"/>
      <c r="J478" s="1851"/>
      <c r="K478" s="1851"/>
      <c r="L478" s="1851"/>
      <c r="M478" s="1851"/>
      <c r="N478" s="1851"/>
      <c r="O478" s="1851"/>
      <c r="P478" s="1851"/>
      <c r="Q478" s="1851"/>
    </row>
    <row r="479" spans="1:17">
      <c r="A479" s="101"/>
      <c r="B479" s="101"/>
      <c r="C479" s="1851"/>
      <c r="D479" s="1851"/>
      <c r="E479" s="1851"/>
      <c r="F479" s="1851"/>
      <c r="G479" s="1851"/>
      <c r="H479" s="1851"/>
      <c r="I479" s="1851"/>
      <c r="J479" s="1851"/>
      <c r="K479" s="1851"/>
      <c r="L479" s="1851"/>
      <c r="M479" s="1851"/>
      <c r="N479" s="1851"/>
      <c r="O479" s="1851"/>
      <c r="P479" s="1851"/>
      <c r="Q479" s="1851"/>
    </row>
    <row r="480" spans="1:17" ht="12.75" customHeight="1">
      <c r="A480" s="101"/>
      <c r="B480" s="101" t="s">
        <v>171</v>
      </c>
      <c r="C480" s="1851" t="s">
        <v>1714</v>
      </c>
      <c r="D480" s="1851"/>
      <c r="E480" s="1851"/>
      <c r="F480" s="1851"/>
      <c r="G480" s="1851"/>
      <c r="H480" s="1851"/>
      <c r="I480" s="1851"/>
      <c r="J480" s="1851"/>
      <c r="K480" s="1851"/>
      <c r="L480" s="1851"/>
      <c r="M480" s="1851"/>
      <c r="N480" s="1851"/>
      <c r="O480" s="1851"/>
      <c r="P480" s="1851"/>
      <c r="Q480" s="1851"/>
    </row>
    <row r="481" spans="1:19">
      <c r="A481" s="101"/>
      <c r="B481" s="101"/>
      <c r="C481" s="1851"/>
      <c r="D481" s="1851"/>
      <c r="E481" s="1851"/>
      <c r="F481" s="1851"/>
      <c r="G481" s="1851"/>
      <c r="H481" s="1851"/>
      <c r="I481" s="1851"/>
      <c r="J481" s="1851"/>
      <c r="K481" s="1851"/>
      <c r="L481" s="1851"/>
      <c r="M481" s="1851"/>
      <c r="N481" s="1851"/>
      <c r="O481" s="1851"/>
      <c r="P481" s="1851"/>
      <c r="Q481" s="1851"/>
    </row>
    <row r="482" spans="1:19">
      <c r="A482" s="101"/>
      <c r="B482" s="101"/>
      <c r="C482" s="1851"/>
      <c r="D482" s="1851"/>
      <c r="E482" s="1851"/>
      <c r="F482" s="1851"/>
      <c r="G482" s="1851"/>
      <c r="H482" s="1851"/>
      <c r="I482" s="1851"/>
      <c r="J482" s="1851"/>
      <c r="K482" s="1851"/>
      <c r="L482" s="1851"/>
      <c r="M482" s="1851"/>
      <c r="N482" s="1851"/>
      <c r="O482" s="1851"/>
      <c r="P482" s="1851"/>
      <c r="Q482" s="1851"/>
    </row>
    <row r="483" spans="1:19">
      <c r="A483" s="101"/>
      <c r="B483" s="101"/>
      <c r="C483" s="1851"/>
      <c r="D483" s="1851"/>
      <c r="E483" s="1851"/>
      <c r="F483" s="1851"/>
      <c r="G483" s="1851"/>
      <c r="H483" s="1851"/>
      <c r="I483" s="1851"/>
      <c r="J483" s="1851"/>
      <c r="K483" s="1851"/>
      <c r="L483" s="1851"/>
      <c r="M483" s="1851"/>
      <c r="N483" s="1851"/>
      <c r="O483" s="1851"/>
      <c r="P483" s="1851"/>
      <c r="Q483" s="1851"/>
    </row>
    <row r="484" spans="1:19">
      <c r="A484" s="101"/>
      <c r="B484" s="101"/>
      <c r="C484" s="1851"/>
      <c r="D484" s="1851"/>
      <c r="E484" s="1851"/>
      <c r="F484" s="1851"/>
      <c r="G484" s="1851"/>
      <c r="H484" s="1851"/>
      <c r="I484" s="1851"/>
      <c r="J484" s="1851"/>
      <c r="K484" s="1851"/>
      <c r="L484" s="1851"/>
      <c r="M484" s="1851"/>
      <c r="N484" s="1851"/>
      <c r="O484" s="1851"/>
      <c r="P484" s="1851"/>
      <c r="Q484" s="1851"/>
    </row>
    <row r="485" spans="1:19">
      <c r="A485" s="101"/>
      <c r="B485" s="101"/>
      <c r="C485" s="1851"/>
      <c r="D485" s="1851"/>
      <c r="E485" s="1851"/>
      <c r="F485" s="1851"/>
      <c r="G485" s="1851"/>
      <c r="H485" s="1851"/>
      <c r="I485" s="1851"/>
      <c r="J485" s="1851"/>
      <c r="K485" s="1851"/>
      <c r="L485" s="1851"/>
      <c r="M485" s="1851"/>
      <c r="N485" s="1851"/>
      <c r="O485" s="1851"/>
      <c r="P485" s="1851"/>
      <c r="Q485" s="1851"/>
    </row>
    <row r="486" spans="1:19">
      <c r="A486" s="101"/>
      <c r="B486" s="101"/>
      <c r="C486" s="1851"/>
      <c r="D486" s="1851"/>
      <c r="E486" s="1851"/>
      <c r="F486" s="1851"/>
      <c r="G486" s="1851"/>
      <c r="H486" s="1851"/>
      <c r="I486" s="1851"/>
      <c r="J486" s="1851"/>
      <c r="K486" s="1851"/>
      <c r="L486" s="1851"/>
      <c r="M486" s="1851"/>
      <c r="N486" s="1851"/>
      <c r="O486" s="1851"/>
      <c r="P486" s="1851"/>
      <c r="Q486" s="1851"/>
    </row>
    <row r="487" spans="1:19" ht="12.75" customHeight="1">
      <c r="A487" s="101"/>
      <c r="B487" s="101" t="s">
        <v>658</v>
      </c>
      <c r="C487" s="1851" t="s">
        <v>1715</v>
      </c>
      <c r="D487" s="1851"/>
      <c r="E487" s="1851"/>
      <c r="F487" s="1851"/>
      <c r="G487" s="1851"/>
      <c r="H487" s="1851"/>
      <c r="I487" s="1851"/>
      <c r="J487" s="1851"/>
      <c r="K487" s="1851"/>
      <c r="L487" s="1851"/>
      <c r="M487" s="1851"/>
      <c r="N487" s="1851"/>
      <c r="O487" s="1851"/>
      <c r="P487" s="1851"/>
      <c r="Q487" s="1851"/>
    </row>
    <row r="488" spans="1:19" ht="12.75" customHeight="1">
      <c r="A488" s="101"/>
      <c r="B488" s="101"/>
      <c r="C488" s="1851"/>
      <c r="D488" s="1851"/>
      <c r="E488" s="1851"/>
      <c r="F488" s="1851"/>
      <c r="G488" s="1851"/>
      <c r="H488" s="1851"/>
      <c r="I488" s="1851"/>
      <c r="J488" s="1851"/>
      <c r="K488" s="1851"/>
      <c r="L488" s="1851"/>
      <c r="M488" s="1851"/>
      <c r="N488" s="1851"/>
      <c r="O488" s="1851"/>
      <c r="P488" s="1851"/>
      <c r="Q488" s="1851"/>
    </row>
    <row r="489" spans="1:19" ht="12.75" customHeight="1">
      <c r="A489" s="101"/>
      <c r="B489" s="101"/>
      <c r="C489" s="1851"/>
      <c r="D489" s="1851"/>
      <c r="E489" s="1851"/>
      <c r="F489" s="1851"/>
      <c r="G489" s="1851"/>
      <c r="H489" s="1851"/>
      <c r="I489" s="1851"/>
      <c r="J489" s="1851"/>
      <c r="K489" s="1851"/>
      <c r="L489" s="1851"/>
      <c r="M489" s="1851"/>
      <c r="N489" s="1851"/>
      <c r="O489" s="1851"/>
      <c r="P489" s="1851"/>
      <c r="Q489" s="1851"/>
    </row>
    <row r="490" spans="1:19" ht="12.75" customHeight="1">
      <c r="A490" s="101"/>
      <c r="B490" s="101"/>
      <c r="C490" s="1851"/>
      <c r="D490" s="1851"/>
      <c r="E490" s="1851"/>
      <c r="F490" s="1851"/>
      <c r="G490" s="1851"/>
      <c r="H490" s="1851"/>
      <c r="I490" s="1851"/>
      <c r="J490" s="1851"/>
      <c r="K490" s="1851"/>
      <c r="L490" s="1851"/>
      <c r="M490" s="1851"/>
      <c r="N490" s="1851"/>
      <c r="O490" s="1851"/>
      <c r="P490" s="1851"/>
      <c r="Q490" s="1851"/>
    </row>
    <row r="491" spans="1:19">
      <c r="A491" s="101"/>
      <c r="B491" s="101"/>
      <c r="C491" s="1851"/>
      <c r="D491" s="1851"/>
      <c r="E491" s="1851"/>
      <c r="F491" s="1851"/>
      <c r="G491" s="1851"/>
      <c r="H491" s="1851"/>
      <c r="I491" s="1851"/>
      <c r="J491" s="1851"/>
      <c r="K491" s="1851"/>
      <c r="L491" s="1851"/>
      <c r="M491" s="1851"/>
      <c r="N491" s="1851"/>
      <c r="O491" s="1851"/>
      <c r="P491" s="1851"/>
      <c r="Q491" s="1851"/>
    </row>
    <row r="492" spans="1:19">
      <c r="A492" s="101"/>
      <c r="B492" s="101"/>
      <c r="C492" s="1851"/>
      <c r="D492" s="1851"/>
      <c r="E492" s="1851"/>
      <c r="F492" s="1851"/>
      <c r="G492" s="1851"/>
      <c r="H492" s="1851"/>
      <c r="I492" s="1851"/>
      <c r="J492" s="1851"/>
      <c r="K492" s="1851"/>
      <c r="L492" s="1851"/>
      <c r="M492" s="1851"/>
      <c r="N492" s="1851"/>
      <c r="O492" s="1851"/>
      <c r="P492" s="1851"/>
      <c r="Q492" s="1851"/>
    </row>
    <row r="493" spans="1:19">
      <c r="A493" s="101"/>
      <c r="B493" s="101"/>
      <c r="C493" s="1851"/>
      <c r="D493" s="1851"/>
      <c r="E493" s="1851"/>
      <c r="F493" s="1851"/>
      <c r="G493" s="1851"/>
      <c r="H493" s="1851"/>
      <c r="I493" s="1851"/>
      <c r="J493" s="1851"/>
      <c r="K493" s="1851"/>
      <c r="L493" s="1851"/>
      <c r="M493" s="1851"/>
      <c r="N493" s="1851"/>
      <c r="O493" s="1851"/>
      <c r="P493" s="1851"/>
      <c r="Q493" s="1851"/>
    </row>
    <row r="494" spans="1:19">
      <c r="A494" s="101"/>
      <c r="B494" s="101"/>
      <c r="C494" s="101"/>
      <c r="D494" s="101"/>
      <c r="E494" s="1289"/>
      <c r="F494" s="1289"/>
      <c r="G494" s="1289"/>
      <c r="H494" s="1289"/>
      <c r="I494" s="1289"/>
      <c r="J494" s="1289"/>
      <c r="K494" s="1289"/>
      <c r="L494" s="1289"/>
      <c r="M494" s="1289"/>
      <c r="N494" s="1289"/>
      <c r="O494" s="1289"/>
      <c r="P494" s="1289"/>
      <c r="Q494" s="1289"/>
    </row>
    <row r="495" spans="1:19">
      <c r="E495" s="1359"/>
      <c r="F495" s="1359"/>
      <c r="G495" s="1359"/>
      <c r="H495" s="1359"/>
      <c r="I495" s="1359"/>
      <c r="J495" s="1359"/>
      <c r="K495" s="1359"/>
      <c r="L495" s="1359"/>
      <c r="M495" s="1359"/>
      <c r="N495" s="1359"/>
      <c r="O495" s="1359"/>
      <c r="P495" s="1359"/>
      <c r="Q495" s="1359"/>
    </row>
    <row r="496" spans="1:19" ht="15.5">
      <c r="A496" s="1248" t="s">
        <v>597</v>
      </c>
      <c r="B496" s="1248"/>
      <c r="C496" s="1248"/>
      <c r="D496" s="1248"/>
      <c r="E496" s="1249"/>
      <c r="F496" s="169"/>
      <c r="G496" s="169"/>
      <c r="H496" s="563"/>
      <c r="I496" s="169"/>
      <c r="J496" s="169"/>
      <c r="K496" s="169"/>
      <c r="L496" s="169"/>
      <c r="M496" s="169"/>
      <c r="N496" s="169"/>
      <c r="O496" s="169"/>
      <c r="P496" s="169"/>
      <c r="Q496" s="169"/>
      <c r="R496" s="169"/>
      <c r="S496" s="169"/>
    </row>
  </sheetData>
  <mergeCells count="102">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 ref="C97:Q97"/>
    <mergeCell ref="C100:C101"/>
    <mergeCell ref="E100:E101"/>
    <mergeCell ref="G100:G101"/>
    <mergeCell ref="I100:I101"/>
    <mergeCell ref="O100:O101"/>
    <mergeCell ref="C62:Q62"/>
    <mergeCell ref="C65:C66"/>
    <mergeCell ref="E65:E66"/>
    <mergeCell ref="G65:G66"/>
    <mergeCell ref="I65:I66"/>
    <mergeCell ref="O65:O66"/>
    <mergeCell ref="C133:C134"/>
    <mergeCell ref="E133:E134"/>
    <mergeCell ref="G133:G134"/>
    <mergeCell ref="I133:I134"/>
    <mergeCell ref="O133:O134"/>
    <mergeCell ref="C166:Q166"/>
    <mergeCell ref="C115:Q115"/>
    <mergeCell ref="C118:C119"/>
    <mergeCell ref="E118:E119"/>
    <mergeCell ref="G118:I119"/>
    <mergeCell ref="C128:Q128"/>
    <mergeCell ref="C130:Q130"/>
    <mergeCell ref="C205:C206"/>
    <mergeCell ref="E205:E206"/>
    <mergeCell ref="G205:G206"/>
    <mergeCell ref="I205:I206"/>
    <mergeCell ref="O205:O206"/>
    <mergeCell ref="E238:Q238"/>
    <mergeCell ref="C169:C170"/>
    <mergeCell ref="E169:E170"/>
    <mergeCell ref="G169:G170"/>
    <mergeCell ref="I169:I170"/>
    <mergeCell ref="O169:O170"/>
    <mergeCell ref="C202:Q202"/>
    <mergeCell ref="C277:C278"/>
    <mergeCell ref="E277:E278"/>
    <mergeCell ref="G277:G278"/>
    <mergeCell ref="I277:I278"/>
    <mergeCell ref="O277:O278"/>
    <mergeCell ref="E310:Q310"/>
    <mergeCell ref="C241:C242"/>
    <mergeCell ref="E241:E242"/>
    <mergeCell ref="G241:G242"/>
    <mergeCell ref="I241:I242"/>
    <mergeCell ref="O241:O242"/>
    <mergeCell ref="E274:Q274"/>
    <mergeCell ref="C349:C350"/>
    <mergeCell ref="E349:E350"/>
    <mergeCell ref="G349:G350"/>
    <mergeCell ref="I349:I350"/>
    <mergeCell ref="O349:O350"/>
    <mergeCell ref="E382:Q382"/>
    <mergeCell ref="C313:C314"/>
    <mergeCell ref="E313:E314"/>
    <mergeCell ref="G313:G314"/>
    <mergeCell ref="I313:I314"/>
    <mergeCell ref="O313:O314"/>
    <mergeCell ref="C346:Q346"/>
    <mergeCell ref="C403:C404"/>
    <mergeCell ref="E403:E404"/>
    <mergeCell ref="G403:I404"/>
    <mergeCell ref="E412:Q412"/>
    <mergeCell ref="E414:Q414"/>
    <mergeCell ref="C417:C418"/>
    <mergeCell ref="E417:E418"/>
    <mergeCell ref="G417:I418"/>
    <mergeCell ref="C385:C386"/>
    <mergeCell ref="E385:E386"/>
    <mergeCell ref="G385:G386"/>
    <mergeCell ref="I385:I386"/>
    <mergeCell ref="O385:O386"/>
    <mergeCell ref="E400:Q400"/>
    <mergeCell ref="C453:Q459"/>
    <mergeCell ref="C460:Q466"/>
    <mergeCell ref="C467:Q473"/>
    <mergeCell ref="C474:Q479"/>
    <mergeCell ref="C480:Q486"/>
    <mergeCell ref="C487:Q493"/>
    <mergeCell ref="B429:Q431"/>
    <mergeCell ref="B432:Q434"/>
    <mergeCell ref="B435:Q437"/>
    <mergeCell ref="B438:Q439"/>
    <mergeCell ref="C443:Q449"/>
    <mergeCell ref="C450:Q452"/>
  </mergeCells>
  <pageMargins left="0.7" right="0.7" top="0.75" bottom="0.75" header="0.3" footer="0.3"/>
  <pageSetup scale="52" orientation="landscape" r:id="rId1"/>
  <rowBreaks count="6" manualBreakCount="6">
    <brk id="60" max="17" man="1"/>
    <brk id="125" max="17" man="1"/>
    <brk id="200" max="17" man="1"/>
    <brk id="272" max="17" man="1"/>
    <brk id="344" max="17" man="1"/>
    <brk id="426"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A8C8-DAFE-4CEC-87D0-CE43EA9D386B}">
  <dimension ref="A1:FF357"/>
  <sheetViews>
    <sheetView view="pageBreakPreview" topLeftCell="L109" zoomScale="60" zoomScaleNormal="80" workbookViewId="0">
      <selection sqref="A1:XFD1048576"/>
    </sheetView>
  </sheetViews>
  <sheetFormatPr defaultColWidth="9.1796875" defaultRowHeight="12.5"/>
  <cols>
    <col min="1" max="1" width="9.1796875" style="1290" customWidth="1"/>
    <col min="2" max="2" width="9.453125" style="1292" customWidth="1"/>
    <col min="3" max="3" width="75.26953125" style="1292" customWidth="1"/>
    <col min="4" max="4" width="50.7265625" style="1292" bestFit="1" customWidth="1"/>
    <col min="5" max="5" width="25.81640625" style="1292" bestFit="1" customWidth="1"/>
    <col min="6" max="6" width="23.453125" style="1290" bestFit="1" customWidth="1"/>
    <col min="7" max="7" width="23" style="1290" bestFit="1" customWidth="1"/>
    <col min="8" max="9" width="21.453125" style="1290" customWidth="1"/>
    <col min="10" max="10" width="25.453125" style="1290" bestFit="1" customWidth="1"/>
    <col min="11" max="11" width="5.453125" style="1290" customWidth="1"/>
    <col min="12" max="12" width="23" style="1290" bestFit="1" customWidth="1"/>
    <col min="13" max="15" width="21.453125" style="1290" customWidth="1"/>
    <col min="16" max="16" width="25.1796875" style="1290" bestFit="1" customWidth="1"/>
    <col min="17" max="17" width="2.7265625" style="1290" customWidth="1"/>
    <col min="18" max="18" width="26.54296875" style="1290" customWidth="1"/>
    <col min="19" max="19" width="2.7265625" style="1290" customWidth="1"/>
    <col min="20" max="20" width="21.453125" style="1290" customWidth="1"/>
    <col min="21" max="21" width="2.7265625" style="1290" customWidth="1"/>
    <col min="22" max="22" width="24.26953125" style="1290" customWidth="1"/>
    <col min="23" max="23" width="2.7265625" style="1290" customWidth="1"/>
    <col min="24" max="24" width="26.54296875" style="1290" customWidth="1"/>
    <col min="25" max="25" width="2.7265625" style="1290" customWidth="1"/>
    <col min="26" max="26" width="22.7265625" style="1292" customWidth="1"/>
    <col min="27" max="27" width="2.7265625" style="1290" customWidth="1"/>
    <col min="28" max="28" width="18.7265625" style="1292" customWidth="1"/>
    <col min="29" max="29" width="2.7265625" style="1290" customWidth="1"/>
    <col min="30" max="30" width="14.453125" style="1290" customWidth="1"/>
    <col min="31" max="31" width="2.453125" style="1290" customWidth="1"/>
    <col min="32" max="32" width="31.81640625" style="1290" bestFit="1" customWidth="1"/>
    <col min="33" max="33" width="2.453125" style="1290" customWidth="1"/>
    <col min="34" max="34" width="19.81640625" style="1291" customWidth="1"/>
    <col min="35" max="35" width="2.453125" style="1291" customWidth="1"/>
    <col min="36" max="16384" width="9.1796875" style="1290"/>
  </cols>
  <sheetData>
    <row r="1" spans="1:162" ht="14">
      <c r="A1" s="1268" t="s">
        <v>343</v>
      </c>
      <c r="B1" s="1268"/>
      <c r="C1" s="1290"/>
      <c r="D1" s="1290"/>
      <c r="E1" s="1290"/>
      <c r="X1" s="1268"/>
      <c r="Z1" s="1290"/>
      <c r="AB1" s="1290"/>
    </row>
    <row r="2" spans="1:162" ht="14">
      <c r="A2" s="1268" t="s">
        <v>1716</v>
      </c>
      <c r="B2" s="1268"/>
      <c r="C2" s="1290"/>
      <c r="D2" s="1290"/>
      <c r="E2" s="1290"/>
      <c r="X2" s="1268"/>
      <c r="Z2" s="1290"/>
      <c r="AB2" s="1290"/>
    </row>
    <row r="3" spans="1:162" ht="14">
      <c r="A3" s="1268" t="s">
        <v>1717</v>
      </c>
      <c r="B3" s="1268"/>
      <c r="C3" s="1290"/>
      <c r="D3" s="1290"/>
      <c r="E3" s="1290"/>
      <c r="Z3" s="1290"/>
      <c r="AB3" s="1290"/>
    </row>
    <row r="4" spans="1:162" ht="14">
      <c r="B4" s="1268"/>
    </row>
    <row r="5" spans="1:162" ht="19">
      <c r="B5" s="1868" t="s">
        <v>1665</v>
      </c>
      <c r="C5" s="1869"/>
      <c r="D5" s="1869"/>
      <c r="E5" s="1869"/>
      <c r="F5" s="1869"/>
      <c r="G5" s="1869"/>
      <c r="H5" s="1869"/>
      <c r="I5" s="1869"/>
      <c r="J5" s="1869"/>
      <c r="K5" s="1869"/>
      <c r="L5" s="1869"/>
      <c r="M5" s="1869"/>
      <c r="N5" s="1869"/>
      <c r="O5" s="1869"/>
      <c r="P5" s="1869"/>
      <c r="Q5" s="1869"/>
      <c r="R5" s="1869"/>
      <c r="S5" s="1869"/>
      <c r="T5" s="1869"/>
      <c r="U5" s="1869"/>
      <c r="V5" s="1869"/>
      <c r="W5" s="1869"/>
      <c r="X5" s="1869"/>
      <c r="Y5" s="1869"/>
      <c r="Z5" s="1869"/>
      <c r="AA5" s="1869"/>
      <c r="AB5" s="1869"/>
      <c r="AC5" s="1869"/>
      <c r="AD5" s="1869"/>
      <c r="AE5" s="1869"/>
      <c r="AF5" s="1869"/>
      <c r="AG5" s="1869"/>
      <c r="AH5" s="1870"/>
    </row>
    <row r="6" spans="1:162" ht="14">
      <c r="B6" s="1268"/>
    </row>
    <row r="7" spans="1:162" s="1293" customFormat="1" ht="15.5">
      <c r="B7" s="1294"/>
      <c r="C7" s="1294"/>
      <c r="D7" s="1294"/>
      <c r="E7" s="1294"/>
      <c r="F7" s="1871" t="s">
        <v>1718</v>
      </c>
      <c r="G7" s="1872"/>
      <c r="H7" s="1872"/>
      <c r="I7" s="1872"/>
      <c r="J7" s="1873"/>
      <c r="L7" s="1871" t="s">
        <v>1719</v>
      </c>
      <c r="M7" s="1872"/>
      <c r="N7" s="1872"/>
      <c r="O7" s="1872"/>
      <c r="P7" s="1873"/>
      <c r="R7" s="1871" t="s">
        <v>1720</v>
      </c>
      <c r="S7" s="1872"/>
      <c r="T7" s="1872"/>
      <c r="U7" s="1872"/>
      <c r="V7" s="1872"/>
      <c r="W7" s="1872"/>
      <c r="X7" s="1872"/>
      <c r="Y7" s="1872"/>
      <c r="Z7" s="1872"/>
      <c r="AA7" s="1872"/>
      <c r="AB7" s="1872"/>
      <c r="AC7" s="1872"/>
      <c r="AD7" s="1872"/>
      <c r="AE7" s="1872"/>
      <c r="AF7" s="1873"/>
      <c r="AG7" s="1295"/>
      <c r="AH7" s="1296"/>
      <c r="AI7" s="1296"/>
    </row>
    <row r="8" spans="1:162" s="1297" customFormat="1" ht="61.5" customHeight="1">
      <c r="B8" s="1298" t="s">
        <v>691</v>
      </c>
      <c r="C8" s="1299" t="s">
        <v>1721</v>
      </c>
      <c r="D8" s="1299" t="s">
        <v>1501</v>
      </c>
      <c r="E8" s="1298" t="s">
        <v>1722</v>
      </c>
      <c r="F8" s="1298" t="s">
        <v>1723</v>
      </c>
      <c r="G8" s="1298" t="s">
        <v>1724</v>
      </c>
      <c r="H8" s="1298" t="s">
        <v>1725</v>
      </c>
      <c r="I8" s="1298" t="s">
        <v>1726</v>
      </c>
      <c r="J8" s="1298" t="s">
        <v>1727</v>
      </c>
      <c r="K8" s="1298"/>
      <c r="L8" s="1298" t="s">
        <v>1723</v>
      </c>
      <c r="M8" s="1298" t="s">
        <v>1728</v>
      </c>
      <c r="N8" s="1298" t="s">
        <v>1725</v>
      </c>
      <c r="O8" s="1298" t="s">
        <v>1726</v>
      </c>
      <c r="P8" s="1298" t="s">
        <v>1727</v>
      </c>
      <c r="Q8" s="1298"/>
      <c r="R8" s="1298" t="s">
        <v>1729</v>
      </c>
      <c r="S8" s="1298"/>
      <c r="T8" s="1298" t="s">
        <v>1273</v>
      </c>
      <c r="U8" s="1298"/>
      <c r="V8" s="1298" t="s">
        <v>1730</v>
      </c>
      <c r="W8" s="1298"/>
      <c r="X8" s="1298" t="s">
        <v>1731</v>
      </c>
      <c r="Y8" s="1298"/>
      <c r="Z8" s="1298" t="s">
        <v>1732</v>
      </c>
      <c r="AA8" s="1298"/>
      <c r="AB8" s="1298" t="s">
        <v>1733</v>
      </c>
      <c r="AC8" s="1298"/>
      <c r="AD8" s="1298" t="s">
        <v>1734</v>
      </c>
      <c r="AE8" s="1298"/>
      <c r="AF8" s="1298" t="s">
        <v>1735</v>
      </c>
      <c r="AG8" s="1298"/>
      <c r="AH8" s="1298" t="s">
        <v>1736</v>
      </c>
      <c r="AI8" s="1290"/>
      <c r="AJ8" s="1290"/>
      <c r="AK8" s="1290"/>
      <c r="AL8" s="1290"/>
      <c r="AM8" s="1290"/>
      <c r="AN8" s="1290"/>
      <c r="AO8" s="1290"/>
      <c r="AP8" s="1290"/>
      <c r="AQ8" s="1290"/>
      <c r="AR8" s="1290"/>
      <c r="AS8" s="1290"/>
      <c r="AT8" s="1290"/>
      <c r="AU8" s="1290"/>
      <c r="AV8" s="1290"/>
      <c r="AW8" s="1290"/>
      <c r="AX8" s="1290"/>
      <c r="AY8" s="1290"/>
      <c r="AZ8" s="1290"/>
      <c r="BA8" s="1290"/>
      <c r="BB8" s="1290"/>
      <c r="BC8" s="1290"/>
      <c r="BD8" s="1290"/>
      <c r="BE8" s="1290"/>
      <c r="BF8" s="1290"/>
      <c r="BG8" s="1290"/>
      <c r="BH8" s="1290"/>
      <c r="BI8" s="1290"/>
      <c r="BJ8" s="1290"/>
      <c r="BK8" s="1290"/>
      <c r="BL8" s="1290"/>
      <c r="BM8" s="1290"/>
      <c r="BN8" s="1290"/>
      <c r="BO8" s="1290"/>
      <c r="BP8" s="1290"/>
      <c r="BQ8" s="1290"/>
      <c r="BR8" s="1290"/>
      <c r="BS8" s="1290"/>
      <c r="BT8" s="1290"/>
      <c r="BU8" s="1290"/>
      <c r="BV8" s="1290"/>
      <c r="BW8" s="1290"/>
      <c r="BX8" s="1290"/>
      <c r="BY8" s="1290"/>
      <c r="BZ8" s="1290"/>
      <c r="CA8" s="1290"/>
      <c r="CB8" s="1290"/>
      <c r="CC8" s="1290"/>
      <c r="CD8" s="1290"/>
      <c r="CE8" s="1290"/>
      <c r="CF8" s="1290"/>
      <c r="CG8" s="1290"/>
      <c r="CH8" s="1290"/>
      <c r="CI8" s="1290"/>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1290"/>
      <c r="DG8" s="1290"/>
      <c r="DH8" s="1290"/>
      <c r="DI8" s="1290"/>
      <c r="DJ8" s="1290"/>
      <c r="DK8" s="1290"/>
      <c r="DL8" s="1290"/>
      <c r="DM8" s="1290"/>
      <c r="DN8" s="1290"/>
      <c r="DO8" s="1290"/>
      <c r="DP8" s="1290"/>
      <c r="DQ8" s="1290"/>
      <c r="DR8" s="1290"/>
      <c r="DS8" s="1290"/>
      <c r="DT8" s="1290"/>
      <c r="DU8" s="1290"/>
      <c r="DV8" s="1290"/>
      <c r="DW8" s="1290"/>
      <c r="DX8" s="1290"/>
      <c r="DY8" s="1290"/>
      <c r="DZ8" s="1290"/>
      <c r="EA8" s="1290"/>
      <c r="EB8" s="1290"/>
      <c r="EC8" s="1290"/>
      <c r="ED8" s="1290"/>
      <c r="EE8" s="1290"/>
      <c r="EF8" s="1290"/>
      <c r="EG8" s="1290"/>
      <c r="EH8" s="1290"/>
      <c r="EI8" s="1290"/>
      <c r="EJ8" s="1290"/>
      <c r="EK8" s="1290"/>
      <c r="EL8" s="1290"/>
      <c r="EM8" s="1290"/>
      <c r="EN8" s="1290"/>
      <c r="EO8" s="1290"/>
      <c r="EP8" s="1290"/>
      <c r="EQ8" s="1290"/>
      <c r="ER8" s="1290"/>
      <c r="ES8" s="1290"/>
      <c r="ET8" s="1290"/>
      <c r="EU8" s="1290"/>
      <c r="EV8" s="1290"/>
      <c r="EW8" s="1290"/>
      <c r="EX8" s="1290"/>
      <c r="EY8" s="1290"/>
      <c r="EZ8" s="1290"/>
      <c r="FA8" s="1290"/>
      <c r="FB8" s="1290"/>
      <c r="FC8" s="1290"/>
      <c r="FD8" s="1290"/>
      <c r="FE8" s="1290"/>
      <c r="FF8" s="1290"/>
    </row>
    <row r="9" spans="1:162" ht="15" customHeight="1">
      <c r="B9" s="1300"/>
      <c r="C9" s="1301" t="s">
        <v>216</v>
      </c>
      <c r="D9" s="1302" t="s">
        <v>217</v>
      </c>
      <c r="E9" s="1302" t="s">
        <v>1318</v>
      </c>
      <c r="F9" s="1302" t="s">
        <v>1566</v>
      </c>
      <c r="G9" s="1302" t="s">
        <v>1737</v>
      </c>
      <c r="H9" s="1302" t="s">
        <v>1568</v>
      </c>
      <c r="I9" s="1302" t="s">
        <v>1738</v>
      </c>
      <c r="J9" s="1302" t="s">
        <v>1739</v>
      </c>
      <c r="K9" s="1303"/>
      <c r="L9" s="1302" t="s">
        <v>1571</v>
      </c>
      <c r="M9" s="1302" t="s">
        <v>1740</v>
      </c>
      <c r="N9" s="1302" t="s">
        <v>1573</v>
      </c>
      <c r="O9" s="1302" t="s">
        <v>1741</v>
      </c>
      <c r="P9" s="1302" t="s">
        <v>1742</v>
      </c>
      <c r="Q9" s="1304"/>
      <c r="R9" s="1302" t="s">
        <v>1743</v>
      </c>
      <c r="S9" s="1302"/>
      <c r="T9" s="1302" t="s">
        <v>1744</v>
      </c>
      <c r="U9" s="1302"/>
      <c r="V9" s="1302" t="s">
        <v>1745</v>
      </c>
      <c r="W9" s="1302"/>
      <c r="X9" s="1302" t="s">
        <v>1746</v>
      </c>
      <c r="Y9" s="1302"/>
      <c r="Z9" s="1302" t="s">
        <v>1747</v>
      </c>
      <c r="AA9" s="1302"/>
      <c r="AB9" s="1302" t="s">
        <v>1748</v>
      </c>
      <c r="AC9" s="1302"/>
      <c r="AD9" s="1302" t="s">
        <v>1749</v>
      </c>
      <c r="AE9" s="1302"/>
      <c r="AF9" s="1302" t="s">
        <v>1750</v>
      </c>
      <c r="AG9" s="1302"/>
      <c r="AH9" s="1302" t="s">
        <v>1751</v>
      </c>
      <c r="AI9" s="1290"/>
    </row>
    <row r="10" spans="1:162" s="1297" customFormat="1" ht="15" customHeight="1">
      <c r="B10" s="1305"/>
      <c r="C10" s="1305"/>
      <c r="D10" s="1305"/>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290"/>
      <c r="AK10" s="1290"/>
      <c r="AL10" s="1290"/>
      <c r="AM10" s="1290"/>
      <c r="AN10" s="1290"/>
      <c r="AO10" s="1290"/>
      <c r="AP10" s="1290"/>
      <c r="AQ10" s="1290"/>
      <c r="AR10" s="1290"/>
      <c r="AS10" s="1290"/>
      <c r="AT10" s="1290"/>
      <c r="AU10" s="1290"/>
      <c r="AV10" s="1290"/>
      <c r="AW10" s="1290"/>
      <c r="AX10" s="1290"/>
      <c r="AY10" s="1290"/>
      <c r="AZ10" s="1290"/>
      <c r="BA10" s="1290"/>
      <c r="BB10" s="1290"/>
      <c r="BC10" s="1290"/>
      <c r="BD10" s="1290"/>
      <c r="BE10" s="1290"/>
      <c r="BF10" s="1290"/>
      <c r="BG10" s="1290"/>
      <c r="BH10" s="1290"/>
      <c r="BI10" s="1290"/>
      <c r="BJ10" s="1290"/>
      <c r="BK10" s="1290"/>
      <c r="BL10" s="1290"/>
      <c r="BM10" s="1290"/>
      <c r="BN10" s="1290"/>
      <c r="BO10" s="1290"/>
      <c r="BP10" s="1290"/>
      <c r="BQ10" s="1290"/>
      <c r="BR10" s="1290"/>
      <c r="BS10" s="1290"/>
      <c r="BT10" s="1290"/>
      <c r="BU10" s="1290"/>
      <c r="BV10" s="1290"/>
      <c r="BW10" s="1290"/>
      <c r="BX10" s="1290"/>
      <c r="BY10" s="1290"/>
      <c r="BZ10" s="1290"/>
      <c r="CA10" s="1290"/>
      <c r="CB10" s="1290"/>
      <c r="CC10" s="1290"/>
      <c r="CD10" s="1290"/>
      <c r="CE10" s="1290"/>
      <c r="CF10" s="1290"/>
      <c r="CG10" s="1290"/>
      <c r="CH10" s="1290"/>
      <c r="CI10" s="1290"/>
      <c r="CJ10" s="1290"/>
      <c r="CK10" s="1290"/>
      <c r="CL10" s="1290"/>
      <c r="CM10" s="1290"/>
      <c r="CN10" s="1290"/>
      <c r="CO10" s="1290"/>
      <c r="CP10" s="1290"/>
      <c r="CQ10" s="1290"/>
      <c r="CR10" s="1290"/>
      <c r="CS10" s="1290"/>
      <c r="CT10" s="1290"/>
      <c r="CU10" s="1290"/>
      <c r="CV10" s="1290"/>
      <c r="CW10" s="1290"/>
      <c r="CX10" s="1290"/>
      <c r="CY10" s="1290"/>
      <c r="CZ10" s="1290"/>
      <c r="DA10" s="1290"/>
      <c r="DB10" s="1290"/>
      <c r="DC10" s="1290"/>
      <c r="DD10" s="1290"/>
      <c r="DE10" s="1290"/>
      <c r="DF10" s="1290"/>
      <c r="DG10" s="1290"/>
      <c r="DH10" s="1290"/>
      <c r="DI10" s="1290"/>
      <c r="DJ10" s="1290"/>
      <c r="DK10" s="1290"/>
      <c r="DL10" s="1290"/>
      <c r="DM10" s="1290"/>
      <c r="DN10" s="1290"/>
      <c r="DO10" s="1290"/>
      <c r="DP10" s="1290"/>
      <c r="DQ10" s="1290"/>
      <c r="DR10" s="1290"/>
      <c r="DS10" s="1290"/>
      <c r="DT10" s="1290"/>
      <c r="DU10" s="1290"/>
      <c r="DV10" s="1290"/>
      <c r="DW10" s="1290"/>
      <c r="DX10" s="1290"/>
      <c r="DY10" s="1290"/>
      <c r="DZ10" s="1290"/>
      <c r="EA10" s="1290"/>
      <c r="EB10" s="1290"/>
      <c r="EC10" s="1290"/>
      <c r="ED10" s="1290"/>
      <c r="EE10" s="1290"/>
      <c r="EF10" s="1290"/>
      <c r="EG10" s="1290"/>
      <c r="EH10" s="1290"/>
      <c r="EI10" s="1290"/>
      <c r="EJ10" s="1290"/>
      <c r="EK10" s="1290"/>
      <c r="EL10" s="1290"/>
      <c r="EM10" s="1290"/>
      <c r="EN10" s="1290"/>
      <c r="EO10" s="1290"/>
      <c r="EP10" s="1290"/>
      <c r="EQ10" s="1290"/>
      <c r="ER10" s="1290"/>
      <c r="ES10" s="1290"/>
      <c r="ET10" s="1290"/>
      <c r="EU10" s="1290"/>
      <c r="EV10" s="1290"/>
      <c r="EW10" s="1290"/>
      <c r="EX10" s="1290"/>
      <c r="EY10" s="1290"/>
      <c r="EZ10" s="1290"/>
      <c r="FA10" s="1290"/>
      <c r="FB10" s="1290"/>
      <c r="FC10" s="1290"/>
      <c r="FD10" s="1290"/>
      <c r="FE10" s="1290"/>
      <c r="FF10" s="1290"/>
    </row>
    <row r="11" spans="1:162" s="1297" customFormat="1" ht="14">
      <c r="B11" s="1305"/>
      <c r="C11" s="1306" t="s">
        <v>1752</v>
      </c>
      <c r="D11" s="1305"/>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290"/>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0"/>
      <c r="CU11" s="1290"/>
      <c r="CV11" s="1290"/>
      <c r="CW11" s="1290"/>
      <c r="CX11" s="1290"/>
      <c r="CY11" s="1290"/>
      <c r="CZ11" s="1290"/>
      <c r="DA11" s="1290"/>
      <c r="DB11" s="1290"/>
      <c r="DC11" s="1290"/>
      <c r="DD11" s="1290"/>
      <c r="DE11" s="1290"/>
      <c r="DF11" s="1290"/>
      <c r="DG11" s="1290"/>
      <c r="DH11" s="1290"/>
      <c r="DI11" s="1290"/>
      <c r="DJ11" s="1290"/>
      <c r="DK11" s="1290"/>
      <c r="DL11" s="1290"/>
      <c r="DM11" s="1290"/>
      <c r="DN11" s="1290"/>
      <c r="DO11" s="1290"/>
      <c r="DP11" s="1290"/>
      <c r="DQ11" s="1290"/>
      <c r="DR11" s="1290"/>
      <c r="DS11" s="1290"/>
      <c r="DT11" s="1290"/>
      <c r="DU11" s="1290"/>
      <c r="DV11" s="1290"/>
      <c r="DW11" s="1290"/>
      <c r="DX11" s="1290"/>
      <c r="DY11" s="1290"/>
      <c r="DZ11" s="1290"/>
      <c r="EA11" s="1290"/>
      <c r="EB11" s="1290"/>
      <c r="EC11" s="1290"/>
      <c r="ED11" s="1290"/>
      <c r="EE11" s="1290"/>
      <c r="EF11" s="1290"/>
      <c r="EG11" s="1290"/>
      <c r="EH11" s="1290"/>
      <c r="EI11" s="1290"/>
      <c r="EJ11" s="1290"/>
      <c r="EK11" s="1290"/>
      <c r="EL11" s="1290"/>
      <c r="EM11" s="1290"/>
      <c r="EN11" s="1290"/>
      <c r="EO11" s="1290"/>
      <c r="EP11" s="1290"/>
      <c r="EQ11" s="1290"/>
      <c r="ER11" s="1290"/>
      <c r="ES11" s="1290"/>
      <c r="ET11" s="1290"/>
      <c r="EU11" s="1290"/>
      <c r="EV11" s="1290"/>
      <c r="EW11" s="1290"/>
      <c r="EX11" s="1290"/>
      <c r="EY11" s="1290"/>
      <c r="EZ11" s="1290"/>
      <c r="FA11" s="1290"/>
      <c r="FB11" s="1290"/>
      <c r="FC11" s="1290"/>
      <c r="FD11" s="1290"/>
      <c r="FE11" s="1290"/>
      <c r="FF11" s="1290"/>
    </row>
    <row r="12" spans="1:162" ht="14.5">
      <c r="B12" s="1307">
        <v>1</v>
      </c>
      <c r="C12" s="1308" t="s">
        <v>1753</v>
      </c>
      <c r="D12" s="1308" t="s">
        <v>354</v>
      </c>
      <c r="E12" s="1308" t="s">
        <v>1754</v>
      </c>
      <c r="F12" s="1309">
        <v>528972.30000000005</v>
      </c>
      <c r="G12" s="1310">
        <f>F12*0.35</f>
        <v>185140.30499999999</v>
      </c>
      <c r="H12" s="1309">
        <v>40201.894800000002</v>
      </c>
      <c r="I12" s="1310">
        <f>-H12*0.35</f>
        <v>-14070.66318</v>
      </c>
      <c r="J12" s="1310">
        <f>G12+H12+I12</f>
        <v>211271.53662</v>
      </c>
      <c r="K12" s="1311"/>
      <c r="L12" s="1309">
        <v>528972.30000000005</v>
      </c>
      <c r="M12" s="1310">
        <f>L12*0.21</f>
        <v>111084.183</v>
      </c>
      <c r="N12" s="1309">
        <v>40201.894800000002</v>
      </c>
      <c r="O12" s="1310">
        <f>-N12*0.21</f>
        <v>-8442.3979080000008</v>
      </c>
      <c r="P12" s="1310">
        <f>M12+N12+O12</f>
        <v>142843.67989199999</v>
      </c>
      <c r="R12" s="1310">
        <f>J12-P12</f>
        <v>68427.856728000013</v>
      </c>
      <c r="S12" s="1311"/>
      <c r="T12" s="1309">
        <v>0</v>
      </c>
      <c r="U12" s="1311"/>
      <c r="V12" s="1309">
        <v>0</v>
      </c>
      <c r="W12" s="1311"/>
      <c r="X12" s="1310">
        <f>R12-T12-V12</f>
        <v>68427.856728000013</v>
      </c>
      <c r="Y12" s="1311"/>
      <c r="Z12" s="1312" t="s">
        <v>346</v>
      </c>
      <c r="AA12" s="1313"/>
      <c r="AB12" s="1312" t="s">
        <v>36</v>
      </c>
      <c r="AC12" s="1313"/>
      <c r="AD12" s="1820">
        <v>0.10089999999999999</v>
      </c>
      <c r="AE12" s="1313"/>
      <c r="AF12" s="1310">
        <f>X12*AD12</f>
        <v>6904.370743855201</v>
      </c>
      <c r="AG12" s="1313"/>
      <c r="AH12" s="1307">
        <v>190</v>
      </c>
      <c r="AI12" s="1307"/>
    </row>
    <row r="13" spans="1:162" ht="14.5">
      <c r="B13" s="1307">
        <v>2</v>
      </c>
      <c r="C13" s="1308" t="s">
        <v>1755</v>
      </c>
      <c r="D13" s="1308" t="s">
        <v>354</v>
      </c>
      <c r="E13" s="1308" t="s">
        <v>1754</v>
      </c>
      <c r="F13" s="1315">
        <v>27544340.359999999</v>
      </c>
      <c r="G13" s="1316">
        <f t="shared" ref="G13:G71" si="0">F13*0.35</f>
        <v>9640519.1259999983</v>
      </c>
      <c r="H13" s="1315">
        <v>2093369.8673599998</v>
      </c>
      <c r="I13" s="1316">
        <f t="shared" ref="I13:I71" si="1">-H13*0.35</f>
        <v>-732679.45357599994</v>
      </c>
      <c r="J13" s="1316">
        <f>G13+H13+I13</f>
        <v>11001209.539783997</v>
      </c>
      <c r="K13" s="1317"/>
      <c r="L13" s="1315">
        <v>27544340.359999999</v>
      </c>
      <c r="M13" s="1316">
        <f t="shared" ref="M13:M71" si="2">L13*0.21</f>
        <v>5784311.4755999995</v>
      </c>
      <c r="N13" s="1315">
        <v>2093369.8673599998</v>
      </c>
      <c r="O13" s="1316">
        <f t="shared" ref="O13:O71" si="3">-N13*0.21</f>
        <v>-439607.67214559997</v>
      </c>
      <c r="P13" s="1316">
        <f t="shared" ref="P13:P71" si="4">M13+N13+O13</f>
        <v>7438073.6708143987</v>
      </c>
      <c r="Q13" s="1318"/>
      <c r="R13" s="1316">
        <f t="shared" ref="R13:R71" si="5">J13-P13</f>
        <v>3563135.8689695988</v>
      </c>
      <c r="S13" s="1317"/>
      <c r="T13" s="1315">
        <v>0</v>
      </c>
      <c r="U13" s="1317"/>
      <c r="V13" s="1315">
        <v>0</v>
      </c>
      <c r="W13" s="1317"/>
      <c r="X13" s="1316">
        <f t="shared" ref="X13:X71" si="6">R13-T13-V13</f>
        <v>3563135.8689695988</v>
      </c>
      <c r="Y13" s="1311"/>
      <c r="Z13" s="1312" t="s">
        <v>1756</v>
      </c>
      <c r="AA13" s="1313"/>
      <c r="AB13" s="1312" t="s">
        <v>37</v>
      </c>
      <c r="AC13" s="1313"/>
      <c r="AD13" s="1820">
        <v>0</v>
      </c>
      <c r="AE13" s="1313"/>
      <c r="AF13" s="1316">
        <f t="shared" ref="AF13:AF71" si="7">X13*AD13</f>
        <v>0</v>
      </c>
      <c r="AG13" s="1313"/>
      <c r="AH13" s="1307">
        <v>190</v>
      </c>
      <c r="AI13" s="1307"/>
    </row>
    <row r="14" spans="1:162" ht="14.5">
      <c r="B14" s="1307">
        <v>3</v>
      </c>
      <c r="C14" s="1308" t="s">
        <v>1757</v>
      </c>
      <c r="D14" s="1308" t="s">
        <v>354</v>
      </c>
      <c r="E14" s="1308" t="s">
        <v>1754</v>
      </c>
      <c r="F14" s="1315">
        <v>1324004.8400000001</v>
      </c>
      <c r="G14" s="1316">
        <f t="shared" si="0"/>
        <v>463401.69400000002</v>
      </c>
      <c r="H14" s="1315">
        <v>100624.36784000001</v>
      </c>
      <c r="I14" s="1316">
        <f t="shared" si="1"/>
        <v>-35218.528744000003</v>
      </c>
      <c r="J14" s="1316">
        <f t="shared" ref="J14:J71" si="8">G14+H14+I14</f>
        <v>528807.53309599997</v>
      </c>
      <c r="K14" s="1317"/>
      <c r="L14" s="1315">
        <v>1324004.8400000001</v>
      </c>
      <c r="M14" s="1316">
        <f t="shared" si="2"/>
        <v>278041.01640000002</v>
      </c>
      <c r="N14" s="1315">
        <v>100624.36784000001</v>
      </c>
      <c r="O14" s="1316">
        <f t="shared" si="3"/>
        <v>-21131.117246400001</v>
      </c>
      <c r="P14" s="1316">
        <f t="shared" si="4"/>
        <v>357534.26699360006</v>
      </c>
      <c r="Q14" s="1318"/>
      <c r="R14" s="1316">
        <f t="shared" si="5"/>
        <v>171273.26610239991</v>
      </c>
      <c r="S14" s="1317"/>
      <c r="T14" s="1315">
        <v>0</v>
      </c>
      <c r="U14" s="1317"/>
      <c r="V14" s="1315">
        <v>0</v>
      </c>
      <c r="W14" s="1317"/>
      <c r="X14" s="1316">
        <f t="shared" si="6"/>
        <v>171273.26610239991</v>
      </c>
      <c r="Y14" s="1311"/>
      <c r="Z14" s="1312" t="s">
        <v>346</v>
      </c>
      <c r="AA14" s="1313"/>
      <c r="AB14" s="1312" t="s">
        <v>36</v>
      </c>
      <c r="AC14" s="1313"/>
      <c r="AD14" s="1820">
        <v>0.10089999999999999</v>
      </c>
      <c r="AE14" s="1313"/>
      <c r="AF14" s="1316">
        <f t="shared" si="7"/>
        <v>17281.472549732149</v>
      </c>
      <c r="AG14" s="1313"/>
      <c r="AH14" s="1307">
        <v>190</v>
      </c>
      <c r="AI14" s="1307"/>
    </row>
    <row r="15" spans="1:162" ht="14.5">
      <c r="B15" s="1307">
        <v>4</v>
      </c>
      <c r="C15" s="1308" t="s">
        <v>1758</v>
      </c>
      <c r="D15" s="1308" t="s">
        <v>354</v>
      </c>
      <c r="E15" s="1308" t="s">
        <v>1754</v>
      </c>
      <c r="F15" s="1315">
        <v>1904937.14</v>
      </c>
      <c r="G15" s="1316">
        <f t="shared" si="0"/>
        <v>666727.99899999995</v>
      </c>
      <c r="H15" s="1315">
        <v>144775.22263999999</v>
      </c>
      <c r="I15" s="1316">
        <f t="shared" si="1"/>
        <v>-50671.327923999997</v>
      </c>
      <c r="J15" s="1316">
        <f t="shared" si="8"/>
        <v>760831.8937159999</v>
      </c>
      <c r="K15" s="1317"/>
      <c r="L15" s="1315">
        <v>1904937.14</v>
      </c>
      <c r="M15" s="1316">
        <f t="shared" si="2"/>
        <v>400036.79939999996</v>
      </c>
      <c r="N15" s="1315">
        <v>144775.22263999999</v>
      </c>
      <c r="O15" s="1316">
        <f t="shared" si="3"/>
        <v>-30402.796754399998</v>
      </c>
      <c r="P15" s="1316">
        <f t="shared" si="4"/>
        <v>514409.22528559994</v>
      </c>
      <c r="Q15" s="1318"/>
      <c r="R15" s="1316">
        <f t="shared" si="5"/>
        <v>246422.66843039996</v>
      </c>
      <c r="S15" s="1317"/>
      <c r="T15" s="1315">
        <v>0</v>
      </c>
      <c r="U15" s="1317"/>
      <c r="V15" s="1315">
        <v>0</v>
      </c>
      <c r="W15" s="1317"/>
      <c r="X15" s="1316">
        <f t="shared" si="6"/>
        <v>246422.66843039996</v>
      </c>
      <c r="Y15" s="1311"/>
      <c r="Z15" s="1312" t="s">
        <v>346</v>
      </c>
      <c r="AA15" s="1313"/>
      <c r="AB15" s="1312" t="s">
        <v>36</v>
      </c>
      <c r="AC15" s="1313"/>
      <c r="AD15" s="1820">
        <v>0.10089999999999999</v>
      </c>
      <c r="AE15" s="1313"/>
      <c r="AF15" s="1316">
        <f t="shared" si="7"/>
        <v>24864.047244627352</v>
      </c>
      <c r="AG15" s="1313"/>
      <c r="AH15" s="1307">
        <v>190</v>
      </c>
      <c r="AI15" s="1307"/>
    </row>
    <row r="16" spans="1:162" ht="14.5">
      <c r="B16" s="1307">
        <v>5</v>
      </c>
      <c r="C16" s="1308" t="s">
        <v>1759</v>
      </c>
      <c r="D16" s="1308" t="s">
        <v>354</v>
      </c>
      <c r="E16" s="1308" t="s">
        <v>1754</v>
      </c>
      <c r="F16" s="1315">
        <v>301988.01</v>
      </c>
      <c r="G16" s="1316">
        <f t="shared" si="0"/>
        <v>105695.80349999999</v>
      </c>
      <c r="H16" s="1315">
        <v>22951.088759999999</v>
      </c>
      <c r="I16" s="1316">
        <f t="shared" si="1"/>
        <v>-8032.881065999999</v>
      </c>
      <c r="J16" s="1316">
        <f t="shared" si="8"/>
        <v>120614.01119399999</v>
      </c>
      <c r="K16" s="1317"/>
      <c r="L16" s="1315">
        <v>301988.01</v>
      </c>
      <c r="M16" s="1316">
        <f t="shared" si="2"/>
        <v>63417.482100000001</v>
      </c>
      <c r="N16" s="1315">
        <v>22951.088759999999</v>
      </c>
      <c r="O16" s="1316">
        <f t="shared" si="3"/>
        <v>-4819.7286396</v>
      </c>
      <c r="P16" s="1316">
        <f t="shared" si="4"/>
        <v>81548.842220400009</v>
      </c>
      <c r="Q16" s="1318"/>
      <c r="R16" s="1316">
        <f t="shared" si="5"/>
        <v>39065.168973599983</v>
      </c>
      <c r="S16" s="1317"/>
      <c r="T16" s="1315">
        <v>0</v>
      </c>
      <c r="U16" s="1317"/>
      <c r="V16" s="1315">
        <v>0</v>
      </c>
      <c r="W16" s="1317"/>
      <c r="X16" s="1316">
        <f t="shared" si="6"/>
        <v>39065.168973599983</v>
      </c>
      <c r="Y16" s="1311"/>
      <c r="Z16" s="1312" t="s">
        <v>346</v>
      </c>
      <c r="AA16" s="1313"/>
      <c r="AB16" s="1312" t="s">
        <v>36</v>
      </c>
      <c r="AC16" s="1313"/>
      <c r="AD16" s="1820">
        <v>0.10089999999999999</v>
      </c>
      <c r="AE16" s="1313"/>
      <c r="AF16" s="1316">
        <f t="shared" si="7"/>
        <v>3941.6755494362378</v>
      </c>
      <c r="AG16" s="1313"/>
      <c r="AH16" s="1307">
        <v>190</v>
      </c>
      <c r="AI16" s="1307"/>
    </row>
    <row r="17" spans="2:35" ht="14.5">
      <c r="B17" s="1307">
        <v>6</v>
      </c>
      <c r="C17" s="1308" t="s">
        <v>1760</v>
      </c>
      <c r="D17" s="1308" t="s">
        <v>354</v>
      </c>
      <c r="E17" s="1308" t="s">
        <v>1754</v>
      </c>
      <c r="F17" s="1315">
        <v>54355782</v>
      </c>
      <c r="G17" s="1316">
        <f t="shared" si="0"/>
        <v>19024523.699999999</v>
      </c>
      <c r="H17" s="1315">
        <v>4131039.432</v>
      </c>
      <c r="I17" s="1316">
        <f t="shared" si="1"/>
        <v>-1445863.8011999999</v>
      </c>
      <c r="J17" s="1316">
        <f t="shared" si="8"/>
        <v>21709699.330800001</v>
      </c>
      <c r="K17" s="1317"/>
      <c r="L17" s="1315">
        <v>54355782</v>
      </c>
      <c r="M17" s="1316">
        <f t="shared" si="2"/>
        <v>11414714.219999999</v>
      </c>
      <c r="N17" s="1315">
        <v>4131039.432</v>
      </c>
      <c r="O17" s="1316">
        <f t="shared" si="3"/>
        <v>-867518.28071999992</v>
      </c>
      <c r="P17" s="1316">
        <f t="shared" si="4"/>
        <v>14678235.37128</v>
      </c>
      <c r="Q17" s="1318"/>
      <c r="R17" s="1316">
        <f t="shared" si="5"/>
        <v>7031463.959520001</v>
      </c>
      <c r="S17" s="1317"/>
      <c r="T17" s="1315">
        <v>0</v>
      </c>
      <c r="U17" s="1317"/>
      <c r="V17" s="1315">
        <v>0</v>
      </c>
      <c r="W17" s="1317"/>
      <c r="X17" s="1316">
        <f t="shared" si="6"/>
        <v>7031463.959520001</v>
      </c>
      <c r="Y17" s="1311"/>
      <c r="Z17" s="1312" t="s">
        <v>346</v>
      </c>
      <c r="AA17" s="1313"/>
      <c r="AB17" s="1312" t="s">
        <v>36</v>
      </c>
      <c r="AC17" s="1313"/>
      <c r="AD17" s="1820">
        <v>0.10089999999999999</v>
      </c>
      <c r="AE17" s="1313"/>
      <c r="AF17" s="1316">
        <f t="shared" si="7"/>
        <v>709474.71351556806</v>
      </c>
      <c r="AG17" s="1313"/>
      <c r="AH17" s="1307">
        <v>190</v>
      </c>
      <c r="AI17" s="1307"/>
    </row>
    <row r="18" spans="2:35" ht="14.5">
      <c r="B18" s="1307">
        <v>7</v>
      </c>
      <c r="C18" s="1308" t="s">
        <v>1761</v>
      </c>
      <c r="D18" s="1308" t="s">
        <v>354</v>
      </c>
      <c r="E18" s="1308" t="s">
        <v>1754</v>
      </c>
      <c r="F18" s="1315">
        <v>4248708.8</v>
      </c>
      <c r="G18" s="1316">
        <f t="shared" si="0"/>
        <v>1487048.0799999998</v>
      </c>
      <c r="H18" s="1315">
        <v>322901.8688</v>
      </c>
      <c r="I18" s="1316">
        <f t="shared" si="1"/>
        <v>-113015.65407999999</v>
      </c>
      <c r="J18" s="1316">
        <f t="shared" si="8"/>
        <v>1696934.2947199999</v>
      </c>
      <c r="K18" s="1317"/>
      <c r="L18" s="1315">
        <v>4248708.8</v>
      </c>
      <c r="M18" s="1316">
        <f t="shared" si="2"/>
        <v>892228.84799999988</v>
      </c>
      <c r="N18" s="1315">
        <v>322901.8688</v>
      </c>
      <c r="O18" s="1316">
        <f t="shared" si="3"/>
        <v>-67809.392447999999</v>
      </c>
      <c r="P18" s="1316">
        <f t="shared" si="4"/>
        <v>1147321.3243519999</v>
      </c>
      <c r="Q18" s="1318"/>
      <c r="R18" s="1316">
        <f t="shared" si="5"/>
        <v>549612.97036799998</v>
      </c>
      <c r="S18" s="1317"/>
      <c r="T18" s="1315">
        <v>0</v>
      </c>
      <c r="U18" s="1317"/>
      <c r="V18" s="1315">
        <v>0</v>
      </c>
      <c r="W18" s="1317"/>
      <c r="X18" s="1316">
        <f t="shared" si="6"/>
        <v>549612.97036799998</v>
      </c>
      <c r="Y18" s="1311"/>
      <c r="Z18" s="1312" t="s">
        <v>346</v>
      </c>
      <c r="AA18" s="1313"/>
      <c r="AB18" s="1312" t="s">
        <v>36</v>
      </c>
      <c r="AC18" s="1313"/>
      <c r="AD18" s="1820">
        <v>0.10089999999999999</v>
      </c>
      <c r="AE18" s="1313"/>
      <c r="AF18" s="1316">
        <f t="shared" si="7"/>
        <v>55455.94871013119</v>
      </c>
      <c r="AG18" s="1313"/>
      <c r="AH18" s="1307">
        <v>190</v>
      </c>
      <c r="AI18" s="1307"/>
    </row>
    <row r="19" spans="2:35" ht="14.5">
      <c r="B19" s="1307">
        <v>8</v>
      </c>
      <c r="C19" s="1308" t="s">
        <v>1762</v>
      </c>
      <c r="D19" s="1308" t="s">
        <v>354</v>
      </c>
      <c r="E19" s="1308" t="s">
        <v>1754</v>
      </c>
      <c r="F19" s="1315">
        <v>473539.69</v>
      </c>
      <c r="G19" s="1316">
        <f t="shared" si="0"/>
        <v>165738.8915</v>
      </c>
      <c r="H19" s="1315">
        <v>35989.016439999999</v>
      </c>
      <c r="I19" s="1316">
        <f t="shared" si="1"/>
        <v>-12596.155753999999</v>
      </c>
      <c r="J19" s="1316">
        <f t="shared" si="8"/>
        <v>189131.752186</v>
      </c>
      <c r="K19" s="1317"/>
      <c r="L19" s="1315">
        <v>473539.69</v>
      </c>
      <c r="M19" s="1316">
        <f t="shared" si="2"/>
        <v>99443.334900000002</v>
      </c>
      <c r="N19" s="1315">
        <v>35989.016439999999</v>
      </c>
      <c r="O19" s="1316">
        <f t="shared" si="3"/>
        <v>-7557.6934523999998</v>
      </c>
      <c r="P19" s="1316">
        <f t="shared" si="4"/>
        <v>127874.6578876</v>
      </c>
      <c r="Q19" s="1318"/>
      <c r="R19" s="1316">
        <f t="shared" si="5"/>
        <v>61257.094298399999</v>
      </c>
      <c r="S19" s="1317"/>
      <c r="T19" s="1315">
        <v>0</v>
      </c>
      <c r="U19" s="1317"/>
      <c r="V19" s="1315">
        <v>0</v>
      </c>
      <c r="W19" s="1317"/>
      <c r="X19" s="1316">
        <f t="shared" si="6"/>
        <v>61257.094298399999</v>
      </c>
      <c r="Y19" s="1311"/>
      <c r="Z19" s="1312" t="s">
        <v>346</v>
      </c>
      <c r="AA19" s="1313"/>
      <c r="AB19" s="1312" t="s">
        <v>36</v>
      </c>
      <c r="AC19" s="1313"/>
      <c r="AD19" s="1820">
        <v>0.10089999999999999</v>
      </c>
      <c r="AE19" s="1313"/>
      <c r="AF19" s="1316">
        <f t="shared" si="7"/>
        <v>6180.8408147085593</v>
      </c>
      <c r="AG19" s="1313"/>
      <c r="AH19" s="1307">
        <v>190</v>
      </c>
      <c r="AI19" s="1307"/>
    </row>
    <row r="20" spans="2:35" ht="14.5">
      <c r="B20" s="1307">
        <v>9</v>
      </c>
      <c r="C20" s="1308" t="s">
        <v>1763</v>
      </c>
      <c r="D20" s="1308" t="s">
        <v>354</v>
      </c>
      <c r="E20" s="1308" t="s">
        <v>1754</v>
      </c>
      <c r="F20" s="1315">
        <v>7429388.7999999998</v>
      </c>
      <c r="G20" s="1316">
        <f t="shared" si="0"/>
        <v>2600286.0799999996</v>
      </c>
      <c r="H20" s="1315">
        <v>564633.54879999999</v>
      </c>
      <c r="I20" s="1316">
        <f t="shared" si="1"/>
        <v>-197621.74208</v>
      </c>
      <c r="J20" s="1316">
        <f t="shared" si="8"/>
        <v>2967297.8867199998</v>
      </c>
      <c r="K20" s="1317"/>
      <c r="L20" s="1315">
        <v>7429388.7999999998</v>
      </c>
      <c r="M20" s="1316">
        <f t="shared" si="2"/>
        <v>1560171.6479999998</v>
      </c>
      <c r="N20" s="1315">
        <v>564633.54879999999</v>
      </c>
      <c r="O20" s="1316">
        <f t="shared" si="3"/>
        <v>-118573.04524799999</v>
      </c>
      <c r="P20" s="1316">
        <f t="shared" si="4"/>
        <v>2006232.1515520001</v>
      </c>
      <c r="Q20" s="1318"/>
      <c r="R20" s="1316">
        <f t="shared" si="5"/>
        <v>961065.73516799975</v>
      </c>
      <c r="S20" s="1317"/>
      <c r="T20" s="1315">
        <v>0</v>
      </c>
      <c r="U20" s="1317"/>
      <c r="V20" s="1315">
        <v>0</v>
      </c>
      <c r="W20" s="1317"/>
      <c r="X20" s="1316">
        <f t="shared" si="6"/>
        <v>961065.73516799975</v>
      </c>
      <c r="Y20" s="1311"/>
      <c r="Z20" s="1312" t="s">
        <v>346</v>
      </c>
      <c r="AA20" s="1313"/>
      <c r="AB20" s="1312" t="s">
        <v>36</v>
      </c>
      <c r="AC20" s="1313"/>
      <c r="AD20" s="1820">
        <v>0.10089999999999999</v>
      </c>
      <c r="AE20" s="1313"/>
      <c r="AF20" s="1316">
        <f t="shared" si="7"/>
        <v>96971.532678451171</v>
      </c>
      <c r="AG20" s="1313"/>
      <c r="AH20" s="1307">
        <v>190</v>
      </c>
      <c r="AI20" s="1307"/>
    </row>
    <row r="21" spans="2:35" ht="14.5">
      <c r="B21" s="1307">
        <v>10</v>
      </c>
      <c r="C21" s="1308" t="s">
        <v>1764</v>
      </c>
      <c r="D21" s="1308" t="s">
        <v>354</v>
      </c>
      <c r="E21" s="1308" t="s">
        <v>1754</v>
      </c>
      <c r="F21" s="1315">
        <v>20000</v>
      </c>
      <c r="G21" s="1316">
        <f t="shared" si="0"/>
        <v>7000</v>
      </c>
      <c r="H21" s="1315">
        <v>1520</v>
      </c>
      <c r="I21" s="1316">
        <f t="shared" si="1"/>
        <v>-532</v>
      </c>
      <c r="J21" s="1316">
        <f t="shared" si="8"/>
        <v>7988</v>
      </c>
      <c r="K21" s="1317"/>
      <c r="L21" s="1315">
        <v>20000</v>
      </c>
      <c r="M21" s="1316">
        <f t="shared" si="2"/>
        <v>4200</v>
      </c>
      <c r="N21" s="1315">
        <v>1520</v>
      </c>
      <c r="O21" s="1316">
        <f t="shared" si="3"/>
        <v>-319.2</v>
      </c>
      <c r="P21" s="1316">
        <f t="shared" si="4"/>
        <v>5400.8</v>
      </c>
      <c r="Q21" s="1318"/>
      <c r="R21" s="1316">
        <f t="shared" si="5"/>
        <v>2587.1999999999998</v>
      </c>
      <c r="S21" s="1317"/>
      <c r="T21" s="1315">
        <v>0</v>
      </c>
      <c r="U21" s="1317"/>
      <c r="V21" s="1315">
        <v>0</v>
      </c>
      <c r="W21" s="1317"/>
      <c r="X21" s="1316">
        <f t="shared" si="6"/>
        <v>2587.1999999999998</v>
      </c>
      <c r="Y21" s="1311"/>
      <c r="Z21" s="1312" t="s">
        <v>346</v>
      </c>
      <c r="AA21" s="1313"/>
      <c r="AB21" s="1312" t="s">
        <v>36</v>
      </c>
      <c r="AC21" s="1313"/>
      <c r="AD21" s="1820">
        <v>0.10089999999999999</v>
      </c>
      <c r="AE21" s="1313"/>
      <c r="AF21" s="1316">
        <f t="shared" si="7"/>
        <v>261.04847999999993</v>
      </c>
      <c r="AG21" s="1313"/>
      <c r="AH21" s="1307">
        <v>190</v>
      </c>
      <c r="AI21" s="1307"/>
    </row>
    <row r="22" spans="2:35" ht="14.5">
      <c r="B22" s="1307">
        <v>11</v>
      </c>
      <c r="C22" s="1308" t="s">
        <v>1765</v>
      </c>
      <c r="D22" s="1308" t="s">
        <v>354</v>
      </c>
      <c r="E22" s="1308" t="s">
        <v>1754</v>
      </c>
      <c r="F22" s="1315">
        <v>173807.03</v>
      </c>
      <c r="G22" s="1316">
        <f t="shared" si="0"/>
        <v>60832.460499999994</v>
      </c>
      <c r="H22" s="1315">
        <v>13209.334279999999</v>
      </c>
      <c r="I22" s="1316">
        <f t="shared" si="1"/>
        <v>-4623.2669979999991</v>
      </c>
      <c r="J22" s="1316">
        <f t="shared" si="8"/>
        <v>69418.52778199999</v>
      </c>
      <c r="K22" s="1317"/>
      <c r="L22" s="1315">
        <v>173807.03</v>
      </c>
      <c r="M22" s="1316">
        <f t="shared" si="2"/>
        <v>36499.476299999995</v>
      </c>
      <c r="N22" s="1315">
        <v>13209.334279999999</v>
      </c>
      <c r="O22" s="1316">
        <f t="shared" si="3"/>
        <v>-2773.9601987999995</v>
      </c>
      <c r="P22" s="1316">
        <f t="shared" si="4"/>
        <v>46934.850381199991</v>
      </c>
      <c r="Q22" s="1318"/>
      <c r="R22" s="1316">
        <f t="shared" si="5"/>
        <v>22483.677400799999</v>
      </c>
      <c r="S22" s="1317"/>
      <c r="T22" s="1315">
        <v>0</v>
      </c>
      <c r="U22" s="1317"/>
      <c r="V22" s="1315">
        <v>0</v>
      </c>
      <c r="W22" s="1317"/>
      <c r="X22" s="1316">
        <f t="shared" si="6"/>
        <v>22483.677400799999</v>
      </c>
      <c r="Y22" s="1311"/>
      <c r="Z22" s="1312" t="s">
        <v>346</v>
      </c>
      <c r="AA22" s="1313"/>
      <c r="AB22" s="1312" t="s">
        <v>36</v>
      </c>
      <c r="AC22" s="1313"/>
      <c r="AD22" s="1820">
        <v>0.10089999999999999</v>
      </c>
      <c r="AE22" s="1313"/>
      <c r="AF22" s="1316">
        <f t="shared" si="7"/>
        <v>2268.6030497407196</v>
      </c>
      <c r="AG22" s="1313"/>
      <c r="AH22" s="1307">
        <v>190</v>
      </c>
      <c r="AI22" s="1307"/>
    </row>
    <row r="23" spans="2:35" ht="14.5">
      <c r="B23" s="1307">
        <v>12</v>
      </c>
      <c r="C23" s="1308" t="s">
        <v>1766</v>
      </c>
      <c r="D23" s="1308" t="s">
        <v>354</v>
      </c>
      <c r="E23" s="1308" t="s">
        <v>1754</v>
      </c>
      <c r="F23" s="1315">
        <v>3934816.74</v>
      </c>
      <c r="G23" s="1316">
        <f t="shared" si="0"/>
        <v>1377185.8589999999</v>
      </c>
      <c r="H23" s="1315">
        <v>299046.07224000001</v>
      </c>
      <c r="I23" s="1316">
        <f t="shared" si="1"/>
        <v>-104666.12528399999</v>
      </c>
      <c r="J23" s="1316">
        <f t="shared" si="8"/>
        <v>1571565.8059559998</v>
      </c>
      <c r="K23" s="1317"/>
      <c r="L23" s="1315">
        <v>3934816.74</v>
      </c>
      <c r="M23" s="1316">
        <f t="shared" si="2"/>
        <v>826311.51540000003</v>
      </c>
      <c r="N23" s="1315">
        <v>299046.07224000001</v>
      </c>
      <c r="O23" s="1316">
        <f t="shared" si="3"/>
        <v>-62799.675170399998</v>
      </c>
      <c r="P23" s="1316">
        <f t="shared" si="4"/>
        <v>1062557.9124696001</v>
      </c>
      <c r="Q23" s="1318"/>
      <c r="R23" s="1316">
        <f t="shared" si="5"/>
        <v>509007.89348639967</v>
      </c>
      <c r="S23" s="1317"/>
      <c r="T23" s="1315">
        <v>457648.99703362217</v>
      </c>
      <c r="U23" s="1317"/>
      <c r="V23" s="1315">
        <v>0</v>
      </c>
      <c r="W23" s="1317"/>
      <c r="X23" s="1316">
        <f t="shared" si="6"/>
        <v>51358.896452777495</v>
      </c>
      <c r="Y23" s="1311"/>
      <c r="Z23" s="1312" t="s">
        <v>1251</v>
      </c>
      <c r="AA23" s="1313"/>
      <c r="AB23" s="1312" t="s">
        <v>36</v>
      </c>
      <c r="AC23" s="1313"/>
      <c r="AD23" s="1820">
        <v>1</v>
      </c>
      <c r="AE23" s="1313"/>
      <c r="AF23" s="1316">
        <f t="shared" si="7"/>
        <v>51358.896452777495</v>
      </c>
      <c r="AG23" s="1313"/>
      <c r="AH23" s="1307">
        <v>190</v>
      </c>
      <c r="AI23" s="1307"/>
    </row>
    <row r="24" spans="2:35" ht="14.5">
      <c r="B24" s="1307">
        <v>13</v>
      </c>
      <c r="C24" s="1308" t="s">
        <v>1767</v>
      </c>
      <c r="D24" s="1308" t="s">
        <v>354</v>
      </c>
      <c r="E24" s="1308" t="s">
        <v>1754</v>
      </c>
      <c r="F24" s="1315">
        <v>7680550.75</v>
      </c>
      <c r="G24" s="1316">
        <f t="shared" si="0"/>
        <v>2688192.7624999997</v>
      </c>
      <c r="H24" s="1315">
        <v>583721.85699999996</v>
      </c>
      <c r="I24" s="1316">
        <f t="shared" si="1"/>
        <v>-204302.64994999996</v>
      </c>
      <c r="J24" s="1316">
        <f t="shared" si="8"/>
        <v>3067611.9695499996</v>
      </c>
      <c r="K24" s="1317"/>
      <c r="L24" s="1315">
        <v>7680550.75</v>
      </c>
      <c r="M24" s="1316">
        <f t="shared" si="2"/>
        <v>1612915.6575</v>
      </c>
      <c r="N24" s="1315">
        <v>583721.85699999996</v>
      </c>
      <c r="O24" s="1316">
        <f t="shared" si="3"/>
        <v>-122581.58996999999</v>
      </c>
      <c r="P24" s="1316">
        <f t="shared" si="4"/>
        <v>2074055.92453</v>
      </c>
      <c r="Q24" s="1318"/>
      <c r="R24" s="1316">
        <f t="shared" si="5"/>
        <v>993556.04501999961</v>
      </c>
      <c r="S24" s="1317"/>
      <c r="T24" s="1315">
        <v>0</v>
      </c>
      <c r="U24" s="1317"/>
      <c r="V24" s="1315">
        <v>0</v>
      </c>
      <c r="W24" s="1317"/>
      <c r="X24" s="1316">
        <f t="shared" si="6"/>
        <v>993556.04501999961</v>
      </c>
      <c r="Y24" s="1311"/>
      <c r="Z24" s="1312" t="s">
        <v>346</v>
      </c>
      <c r="AA24" s="1313"/>
      <c r="AB24" s="1312" t="s">
        <v>36</v>
      </c>
      <c r="AC24" s="1313"/>
      <c r="AD24" s="1820">
        <v>0.10089999999999999</v>
      </c>
      <c r="AE24" s="1313"/>
      <c r="AF24" s="1316">
        <f t="shared" si="7"/>
        <v>100249.80494251795</v>
      </c>
      <c r="AG24" s="1313"/>
      <c r="AH24" s="1307">
        <v>190</v>
      </c>
      <c r="AI24" s="1307"/>
    </row>
    <row r="25" spans="2:35" ht="14.5">
      <c r="B25" s="1307">
        <v>14</v>
      </c>
      <c r="C25" s="1308" t="s">
        <v>1768</v>
      </c>
      <c r="D25" s="1308" t="s">
        <v>354</v>
      </c>
      <c r="E25" s="1308" t="s">
        <v>1754</v>
      </c>
      <c r="F25" s="1315">
        <v>7227360.4900000002</v>
      </c>
      <c r="G25" s="1316">
        <f t="shared" si="0"/>
        <v>2529576.1714999997</v>
      </c>
      <c r="H25" s="1315">
        <v>549279.39723999996</v>
      </c>
      <c r="I25" s="1316">
        <f t="shared" si="1"/>
        <v>-192247.78903399999</v>
      </c>
      <c r="J25" s="1316">
        <f t="shared" si="8"/>
        <v>2886607.7797059994</v>
      </c>
      <c r="K25" s="1317"/>
      <c r="L25" s="1315">
        <v>7227360.4900000002</v>
      </c>
      <c r="M25" s="1316">
        <f t="shared" si="2"/>
        <v>1517745.7028999999</v>
      </c>
      <c r="N25" s="1315">
        <v>549279.39723999996</v>
      </c>
      <c r="O25" s="1316">
        <f t="shared" si="3"/>
        <v>-115348.67342039999</v>
      </c>
      <c r="P25" s="1316">
        <f t="shared" si="4"/>
        <v>1951676.4267195999</v>
      </c>
      <c r="Q25" s="1318"/>
      <c r="R25" s="1316">
        <f t="shared" si="5"/>
        <v>934931.35298639955</v>
      </c>
      <c r="S25" s="1317"/>
      <c r="T25" s="1315">
        <v>0</v>
      </c>
      <c r="U25" s="1317"/>
      <c r="V25" s="1315">
        <v>0</v>
      </c>
      <c r="W25" s="1317"/>
      <c r="X25" s="1316">
        <f t="shared" si="6"/>
        <v>934931.35298639955</v>
      </c>
      <c r="Y25" s="1311"/>
      <c r="Z25" s="1312" t="s">
        <v>346</v>
      </c>
      <c r="AA25" s="1313"/>
      <c r="AB25" s="1312" t="s">
        <v>36</v>
      </c>
      <c r="AC25" s="1313"/>
      <c r="AD25" s="1820">
        <v>0.10089999999999999</v>
      </c>
      <c r="AE25" s="1313"/>
      <c r="AF25" s="1316">
        <f t="shared" si="7"/>
        <v>94334.573516327699</v>
      </c>
      <c r="AG25" s="1313"/>
      <c r="AH25" s="1307">
        <v>190</v>
      </c>
      <c r="AI25" s="1307"/>
    </row>
    <row r="26" spans="2:35" ht="14.5">
      <c r="B26" s="1307">
        <v>15</v>
      </c>
      <c r="C26" s="1308" t="s">
        <v>1769</v>
      </c>
      <c r="D26" s="1308" t="s">
        <v>354</v>
      </c>
      <c r="E26" s="1308" t="s">
        <v>1754</v>
      </c>
      <c r="F26" s="1315">
        <v>355346.43999999762</v>
      </c>
      <c r="G26" s="1316">
        <f t="shared" si="0"/>
        <v>124371.25399999916</v>
      </c>
      <c r="H26" s="1315">
        <v>27006.329439999819</v>
      </c>
      <c r="I26" s="1316">
        <f t="shared" si="1"/>
        <v>-9452.2153039999357</v>
      </c>
      <c r="J26" s="1316">
        <f t="shared" si="8"/>
        <v>141925.36813599904</v>
      </c>
      <c r="K26" s="1317"/>
      <c r="L26" s="1315">
        <v>355346.43999999762</v>
      </c>
      <c r="M26" s="1316">
        <f t="shared" si="2"/>
        <v>74622.752399999503</v>
      </c>
      <c r="N26" s="1315">
        <v>27006.329439999819</v>
      </c>
      <c r="O26" s="1316">
        <f t="shared" si="3"/>
        <v>-5671.3291823999616</v>
      </c>
      <c r="P26" s="1316">
        <f t="shared" si="4"/>
        <v>95957.752657599369</v>
      </c>
      <c r="Q26" s="1318"/>
      <c r="R26" s="1316">
        <f t="shared" si="5"/>
        <v>45967.615478399675</v>
      </c>
      <c r="S26" s="1317"/>
      <c r="T26" s="1315">
        <v>0</v>
      </c>
      <c r="U26" s="1317"/>
      <c r="V26" s="1315">
        <v>0</v>
      </c>
      <c r="W26" s="1317"/>
      <c r="X26" s="1316">
        <f t="shared" si="6"/>
        <v>45967.615478399675</v>
      </c>
      <c r="Y26" s="1311"/>
      <c r="Z26" s="1312" t="s">
        <v>346</v>
      </c>
      <c r="AA26" s="1313"/>
      <c r="AB26" s="1312" t="s">
        <v>36</v>
      </c>
      <c r="AC26" s="1313"/>
      <c r="AD26" s="1820">
        <v>0.10089999999999999</v>
      </c>
      <c r="AE26" s="1313"/>
      <c r="AF26" s="1316">
        <f t="shared" si="7"/>
        <v>4638.1324017705265</v>
      </c>
      <c r="AG26" s="1313"/>
      <c r="AH26" s="1307">
        <v>190</v>
      </c>
      <c r="AI26" s="1307"/>
    </row>
    <row r="27" spans="2:35" ht="14.5">
      <c r="B27" s="1307">
        <v>16</v>
      </c>
      <c r="C27" s="1308" t="s">
        <v>1770</v>
      </c>
      <c r="D27" s="1308" t="s">
        <v>354</v>
      </c>
      <c r="E27" s="1308" t="s">
        <v>1754</v>
      </c>
      <c r="F27" s="1315">
        <v>13909345</v>
      </c>
      <c r="G27" s="1316">
        <f t="shared" si="0"/>
        <v>4868270.75</v>
      </c>
      <c r="H27" s="1315">
        <v>1057110.22</v>
      </c>
      <c r="I27" s="1316">
        <f t="shared" si="1"/>
        <v>-369988.57699999999</v>
      </c>
      <c r="J27" s="1316">
        <f t="shared" si="8"/>
        <v>5555392.3930000002</v>
      </c>
      <c r="K27" s="1317"/>
      <c r="L27" s="1315">
        <v>13909345</v>
      </c>
      <c r="M27" s="1316">
        <f t="shared" si="2"/>
        <v>2920962.4499999997</v>
      </c>
      <c r="N27" s="1315">
        <v>1057110.22</v>
      </c>
      <c r="O27" s="1316">
        <f t="shared" si="3"/>
        <v>-221993.14619999999</v>
      </c>
      <c r="P27" s="1316">
        <f t="shared" si="4"/>
        <v>3756079.5238000001</v>
      </c>
      <c r="Q27" s="1318"/>
      <c r="R27" s="1316">
        <f t="shared" si="5"/>
        <v>1799312.8692000001</v>
      </c>
      <c r="S27" s="1317"/>
      <c r="T27" s="1315">
        <v>1799312.8692000005</v>
      </c>
      <c r="U27" s="1317"/>
      <c r="V27" s="1315">
        <v>0</v>
      </c>
      <c r="W27" s="1317"/>
      <c r="X27" s="1316">
        <f t="shared" si="6"/>
        <v>-4.6566128730773926E-10</v>
      </c>
      <c r="Y27" s="1311"/>
      <c r="Z27" s="1312" t="s">
        <v>346</v>
      </c>
      <c r="AA27" s="1313"/>
      <c r="AB27" s="1312" t="s">
        <v>37</v>
      </c>
      <c r="AC27" s="1313"/>
      <c r="AD27" s="1820">
        <v>0</v>
      </c>
      <c r="AE27" s="1313"/>
      <c r="AF27" s="1316">
        <f t="shared" si="7"/>
        <v>0</v>
      </c>
      <c r="AG27" s="1313"/>
      <c r="AH27" s="1307">
        <v>190</v>
      </c>
      <c r="AI27" s="1307"/>
    </row>
    <row r="28" spans="2:35" ht="14.5">
      <c r="B28" s="1307">
        <v>17</v>
      </c>
      <c r="C28" s="1308" t="s">
        <v>1771</v>
      </c>
      <c r="D28" s="1308" t="s">
        <v>354</v>
      </c>
      <c r="E28" s="1308" t="s">
        <v>1754</v>
      </c>
      <c r="F28" s="1315">
        <v>160000000</v>
      </c>
      <c r="G28" s="1316">
        <f t="shared" si="0"/>
        <v>56000000</v>
      </c>
      <c r="H28" s="1315">
        <v>12160000</v>
      </c>
      <c r="I28" s="1316">
        <f t="shared" si="1"/>
        <v>-4256000</v>
      </c>
      <c r="J28" s="1316">
        <f t="shared" si="8"/>
        <v>63904000</v>
      </c>
      <c r="K28" s="1317"/>
      <c r="L28" s="1315">
        <v>160000000</v>
      </c>
      <c r="M28" s="1316">
        <f t="shared" si="2"/>
        <v>33600000</v>
      </c>
      <c r="N28" s="1315">
        <v>12160000</v>
      </c>
      <c r="O28" s="1316">
        <f t="shared" si="3"/>
        <v>-2553600</v>
      </c>
      <c r="P28" s="1316">
        <f t="shared" si="4"/>
        <v>43206400</v>
      </c>
      <c r="Q28" s="1318"/>
      <c r="R28" s="1316">
        <f t="shared" si="5"/>
        <v>20697600</v>
      </c>
      <c r="S28" s="1317"/>
      <c r="T28" s="1315">
        <v>0</v>
      </c>
      <c r="U28" s="1317"/>
      <c r="V28" s="1315">
        <v>0</v>
      </c>
      <c r="W28" s="1317"/>
      <c r="X28" s="1316">
        <f t="shared" si="6"/>
        <v>20697600</v>
      </c>
      <c r="Y28" s="1311"/>
      <c r="Z28" s="1312" t="s">
        <v>1756</v>
      </c>
      <c r="AA28" s="1313"/>
      <c r="AB28" s="1312" t="s">
        <v>37</v>
      </c>
      <c r="AC28" s="1313"/>
      <c r="AD28" s="1820">
        <v>0</v>
      </c>
      <c r="AE28" s="1313"/>
      <c r="AF28" s="1316">
        <f t="shared" si="7"/>
        <v>0</v>
      </c>
      <c r="AG28" s="1313"/>
      <c r="AH28" s="1307">
        <v>190</v>
      </c>
      <c r="AI28" s="1307"/>
    </row>
    <row r="29" spans="2:35" ht="14.5">
      <c r="B29" s="1307">
        <v>18</v>
      </c>
      <c r="C29" s="1308" t="s">
        <v>1772</v>
      </c>
      <c r="D29" s="1308" t="s">
        <v>354</v>
      </c>
      <c r="E29" s="1308" t="s">
        <v>1754</v>
      </c>
      <c r="F29" s="1315">
        <v>76247.199999999997</v>
      </c>
      <c r="G29" s="1316">
        <f t="shared" si="0"/>
        <v>26686.519999999997</v>
      </c>
      <c r="H29" s="1315">
        <v>5794.7871999999998</v>
      </c>
      <c r="I29" s="1316">
        <f t="shared" si="1"/>
        <v>-2028.1755199999998</v>
      </c>
      <c r="J29" s="1316">
        <f t="shared" si="8"/>
        <v>30453.131679999995</v>
      </c>
      <c r="K29" s="1317"/>
      <c r="L29" s="1315">
        <v>76247.199999999997</v>
      </c>
      <c r="M29" s="1316">
        <f t="shared" si="2"/>
        <v>16011.911999999998</v>
      </c>
      <c r="N29" s="1315">
        <v>5794.7871999999998</v>
      </c>
      <c r="O29" s="1316">
        <f t="shared" si="3"/>
        <v>-1216.9053119999999</v>
      </c>
      <c r="P29" s="1316">
        <f t="shared" si="4"/>
        <v>20589.793888</v>
      </c>
      <c r="Q29" s="1318"/>
      <c r="R29" s="1316">
        <f t="shared" si="5"/>
        <v>9863.3377919999948</v>
      </c>
      <c r="S29" s="1317"/>
      <c r="T29" s="1315">
        <v>0</v>
      </c>
      <c r="U29" s="1317"/>
      <c r="V29" s="1315">
        <v>0</v>
      </c>
      <c r="W29" s="1317"/>
      <c r="X29" s="1316">
        <f t="shared" si="6"/>
        <v>9863.3377919999948</v>
      </c>
      <c r="Y29" s="1311"/>
      <c r="Z29" s="1312" t="s">
        <v>346</v>
      </c>
      <c r="AA29" s="1313"/>
      <c r="AB29" s="1312" t="s">
        <v>36</v>
      </c>
      <c r="AC29" s="1313"/>
      <c r="AD29" s="1820">
        <v>0.10089999999999999</v>
      </c>
      <c r="AE29" s="1313"/>
      <c r="AF29" s="1316">
        <f t="shared" si="7"/>
        <v>995.21078321279936</v>
      </c>
      <c r="AG29" s="1313"/>
      <c r="AH29" s="1307">
        <v>190</v>
      </c>
      <c r="AI29" s="1307"/>
    </row>
    <row r="30" spans="2:35" ht="14.5">
      <c r="B30" s="1307">
        <v>19</v>
      </c>
      <c r="C30" s="1308" t="s">
        <v>1773</v>
      </c>
      <c r="D30" s="1308" t="s">
        <v>354</v>
      </c>
      <c r="E30" s="1308" t="s">
        <v>1754</v>
      </c>
      <c r="F30" s="1315">
        <v>-285855</v>
      </c>
      <c r="G30" s="1316">
        <f t="shared" si="0"/>
        <v>-100049.25</v>
      </c>
      <c r="H30" s="1315">
        <v>-21724.98</v>
      </c>
      <c r="I30" s="1316">
        <f t="shared" si="1"/>
        <v>7603.7429999999995</v>
      </c>
      <c r="J30" s="1316">
        <f t="shared" si="8"/>
        <v>-114170.48699999999</v>
      </c>
      <c r="K30" s="1317"/>
      <c r="L30" s="1315">
        <v>-285855</v>
      </c>
      <c r="M30" s="1316">
        <f t="shared" si="2"/>
        <v>-60029.549999999996</v>
      </c>
      <c r="N30" s="1315">
        <v>-21724.98</v>
      </c>
      <c r="O30" s="1316">
        <f t="shared" si="3"/>
        <v>4562.2457999999997</v>
      </c>
      <c r="P30" s="1316">
        <f t="shared" si="4"/>
        <v>-77192.284199999995</v>
      </c>
      <c r="Q30" s="1318"/>
      <c r="R30" s="1316">
        <f t="shared" si="5"/>
        <v>-36978.202799999999</v>
      </c>
      <c r="S30" s="1317"/>
      <c r="T30" s="1315">
        <v>0</v>
      </c>
      <c r="U30" s="1317"/>
      <c r="V30" s="1315">
        <v>0</v>
      </c>
      <c r="W30" s="1317"/>
      <c r="X30" s="1316">
        <f t="shared" si="6"/>
        <v>-36978.202799999999</v>
      </c>
      <c r="Y30" s="1311"/>
      <c r="Z30" s="1312" t="s">
        <v>346</v>
      </c>
      <c r="AA30" s="1313"/>
      <c r="AB30" s="1312" t="s">
        <v>36</v>
      </c>
      <c r="AC30" s="1313"/>
      <c r="AD30" s="1820">
        <v>0.10089999999999999</v>
      </c>
      <c r="AE30" s="1313"/>
      <c r="AF30" s="1316">
        <f t="shared" si="7"/>
        <v>-3731.1006625199993</v>
      </c>
      <c r="AG30" s="1313"/>
      <c r="AH30" s="1307">
        <v>190</v>
      </c>
      <c r="AI30" s="1307"/>
    </row>
    <row r="31" spans="2:35" ht="14.5">
      <c r="B31" s="1307">
        <v>20</v>
      </c>
      <c r="C31" s="1308" t="s">
        <v>1774</v>
      </c>
      <c r="D31" s="1308" t="s">
        <v>353</v>
      </c>
      <c r="E31" s="1308" t="s">
        <v>1754</v>
      </c>
      <c r="F31" s="1315">
        <v>885155.41</v>
      </c>
      <c r="G31" s="1316">
        <f t="shared" si="0"/>
        <v>309804.39350000001</v>
      </c>
      <c r="H31" s="1315">
        <v>67271.811159999997</v>
      </c>
      <c r="I31" s="1316">
        <f t="shared" si="1"/>
        <v>-23545.133905999999</v>
      </c>
      <c r="J31" s="1316">
        <f t="shared" si="8"/>
        <v>353531.07075399999</v>
      </c>
      <c r="K31" s="1317"/>
      <c r="L31" s="1315">
        <v>885155.41</v>
      </c>
      <c r="M31" s="1316">
        <f t="shared" si="2"/>
        <v>185882.6361</v>
      </c>
      <c r="N31" s="1315">
        <v>67271.811159999997</v>
      </c>
      <c r="O31" s="1316">
        <f t="shared" si="3"/>
        <v>-14127.080343599999</v>
      </c>
      <c r="P31" s="1316">
        <f t="shared" si="4"/>
        <v>239027.36691639997</v>
      </c>
      <c r="Q31" s="1318"/>
      <c r="R31" s="1316">
        <f t="shared" si="5"/>
        <v>114503.70383760001</v>
      </c>
      <c r="S31" s="1317"/>
      <c r="T31" s="1315">
        <v>114503.70383760001</v>
      </c>
      <c r="U31" s="1317"/>
      <c r="V31" s="1315">
        <v>0</v>
      </c>
      <c r="W31" s="1317"/>
      <c r="X31" s="1316">
        <f t="shared" si="6"/>
        <v>0</v>
      </c>
      <c r="Y31" s="1311"/>
      <c r="Z31" s="1312" t="s">
        <v>346</v>
      </c>
      <c r="AA31" s="1313"/>
      <c r="AB31" s="1312" t="s">
        <v>37</v>
      </c>
      <c r="AC31" s="1313"/>
      <c r="AD31" s="1820">
        <v>0</v>
      </c>
      <c r="AE31" s="1313"/>
      <c r="AF31" s="1316">
        <f t="shared" si="7"/>
        <v>0</v>
      </c>
      <c r="AG31" s="1313"/>
      <c r="AH31" s="1307">
        <v>190</v>
      </c>
      <c r="AI31" s="1307"/>
    </row>
    <row r="32" spans="2:35" ht="14.5">
      <c r="B32" s="1307">
        <v>21</v>
      </c>
      <c r="C32" s="1308" t="s">
        <v>1775</v>
      </c>
      <c r="D32" s="1308" t="s">
        <v>353</v>
      </c>
      <c r="E32" s="1308" t="s">
        <v>1754</v>
      </c>
      <c r="F32" s="1315">
        <v>8806289.7799999993</v>
      </c>
      <c r="G32" s="1316">
        <f t="shared" si="0"/>
        <v>3082201.4229999995</v>
      </c>
      <c r="H32" s="1315">
        <v>669278.02327999996</v>
      </c>
      <c r="I32" s="1316">
        <f t="shared" si="1"/>
        <v>-234247.30814799998</v>
      </c>
      <c r="J32" s="1316">
        <f t="shared" si="8"/>
        <v>3517232.1381319994</v>
      </c>
      <c r="K32" s="1317"/>
      <c r="L32" s="1315">
        <v>8806289.7799999993</v>
      </c>
      <c r="M32" s="1316">
        <f t="shared" si="2"/>
        <v>1849320.8537999997</v>
      </c>
      <c r="N32" s="1315">
        <v>669278.02327999996</v>
      </c>
      <c r="O32" s="1316">
        <f t="shared" si="3"/>
        <v>-140548.38488879998</v>
      </c>
      <c r="P32" s="1316">
        <f t="shared" si="4"/>
        <v>2378050.4921911997</v>
      </c>
      <c r="Q32" s="1318"/>
      <c r="R32" s="1316">
        <f t="shared" si="5"/>
        <v>1139181.6459407997</v>
      </c>
      <c r="S32" s="1317"/>
      <c r="T32" s="1315">
        <v>0</v>
      </c>
      <c r="U32" s="1317"/>
      <c r="V32" s="1315">
        <v>0</v>
      </c>
      <c r="W32" s="1317"/>
      <c r="X32" s="1316">
        <f t="shared" si="6"/>
        <v>1139181.6459407997</v>
      </c>
      <c r="Y32" s="1311"/>
      <c r="Z32" s="1312" t="s">
        <v>1776</v>
      </c>
      <c r="AA32" s="1313"/>
      <c r="AB32" s="1312" t="s">
        <v>37</v>
      </c>
      <c r="AC32" s="1313"/>
      <c r="AD32" s="1820">
        <v>0</v>
      </c>
      <c r="AE32" s="1313"/>
      <c r="AF32" s="1316">
        <f t="shared" si="7"/>
        <v>0</v>
      </c>
      <c r="AG32" s="1313"/>
      <c r="AH32" s="1307">
        <v>190</v>
      </c>
      <c r="AI32" s="1307"/>
    </row>
    <row r="33" spans="2:35" ht="14.5">
      <c r="B33" s="1307">
        <v>22</v>
      </c>
      <c r="C33" s="1308" t="s">
        <v>1777</v>
      </c>
      <c r="D33" s="1308" t="s">
        <v>353</v>
      </c>
      <c r="E33" s="1308" t="s">
        <v>1754</v>
      </c>
      <c r="F33" s="1315">
        <v>7074536.3300000001</v>
      </c>
      <c r="G33" s="1316">
        <f t="shared" si="0"/>
        <v>2476087.7154999999</v>
      </c>
      <c r="H33" s="1315">
        <v>537664.76107999997</v>
      </c>
      <c r="I33" s="1316">
        <f t="shared" si="1"/>
        <v>-188182.66637799997</v>
      </c>
      <c r="J33" s="1316">
        <f t="shared" si="8"/>
        <v>2825569.8102020002</v>
      </c>
      <c r="K33" s="1317"/>
      <c r="L33" s="1315">
        <v>7074536.3300000001</v>
      </c>
      <c r="M33" s="1316">
        <f t="shared" si="2"/>
        <v>1485652.6292999999</v>
      </c>
      <c r="N33" s="1315">
        <v>537664.76107999997</v>
      </c>
      <c r="O33" s="1316">
        <f t="shared" si="3"/>
        <v>-112909.59982679998</v>
      </c>
      <c r="P33" s="1316">
        <f t="shared" si="4"/>
        <v>1910407.7905531998</v>
      </c>
      <c r="Q33" s="1318"/>
      <c r="R33" s="1316">
        <f t="shared" si="5"/>
        <v>915162.01964880037</v>
      </c>
      <c r="S33" s="1317"/>
      <c r="T33" s="1315">
        <v>0</v>
      </c>
      <c r="U33" s="1317"/>
      <c r="V33" s="1315">
        <v>0</v>
      </c>
      <c r="W33" s="1317"/>
      <c r="X33" s="1316">
        <f t="shared" si="6"/>
        <v>915162.01964880037</v>
      </c>
      <c r="Y33" s="1311"/>
      <c r="Z33" s="1312" t="s">
        <v>1756</v>
      </c>
      <c r="AA33" s="1313"/>
      <c r="AB33" s="1312" t="s">
        <v>37</v>
      </c>
      <c r="AC33" s="1313"/>
      <c r="AD33" s="1820">
        <v>0</v>
      </c>
      <c r="AE33" s="1313"/>
      <c r="AF33" s="1316">
        <f t="shared" si="7"/>
        <v>0</v>
      </c>
      <c r="AG33" s="1313"/>
      <c r="AH33" s="1307">
        <v>190</v>
      </c>
      <c r="AI33" s="1307"/>
    </row>
    <row r="34" spans="2:35" ht="14.5">
      <c r="B34" s="1307">
        <v>23</v>
      </c>
      <c r="C34" s="1308" t="s">
        <v>1778</v>
      </c>
      <c r="D34" s="1308" t="s">
        <v>353</v>
      </c>
      <c r="E34" s="1308" t="s">
        <v>1754</v>
      </c>
      <c r="F34" s="1315">
        <v>2516575.08</v>
      </c>
      <c r="G34" s="1316">
        <f t="shared" si="0"/>
        <v>880801.27799999993</v>
      </c>
      <c r="H34" s="1315">
        <v>191259.70608</v>
      </c>
      <c r="I34" s="1316">
        <f t="shared" si="1"/>
        <v>-66940.897127999997</v>
      </c>
      <c r="J34" s="1316">
        <f t="shared" si="8"/>
        <v>1005120.0869519998</v>
      </c>
      <c r="K34" s="1317"/>
      <c r="L34" s="1315">
        <v>2516575.08</v>
      </c>
      <c r="M34" s="1316">
        <f t="shared" si="2"/>
        <v>528480.76679999998</v>
      </c>
      <c r="N34" s="1315">
        <v>191259.70608</v>
      </c>
      <c r="O34" s="1316">
        <f t="shared" si="3"/>
        <v>-40164.538276799998</v>
      </c>
      <c r="P34" s="1316">
        <f t="shared" si="4"/>
        <v>679575.93460320006</v>
      </c>
      <c r="Q34" s="1318"/>
      <c r="R34" s="1316">
        <f t="shared" si="5"/>
        <v>325544.15234879975</v>
      </c>
      <c r="S34" s="1317"/>
      <c r="T34" s="1315">
        <v>0</v>
      </c>
      <c r="U34" s="1317"/>
      <c r="V34" s="1315">
        <v>0</v>
      </c>
      <c r="W34" s="1317"/>
      <c r="X34" s="1316">
        <f t="shared" si="6"/>
        <v>325544.15234879975</v>
      </c>
      <c r="Y34" s="1311"/>
      <c r="Z34" s="1312" t="s">
        <v>1756</v>
      </c>
      <c r="AA34" s="1313"/>
      <c r="AB34" s="1312" t="s">
        <v>37</v>
      </c>
      <c r="AC34" s="1313"/>
      <c r="AD34" s="1820">
        <v>0</v>
      </c>
      <c r="AE34" s="1313"/>
      <c r="AF34" s="1316">
        <f t="shared" si="7"/>
        <v>0</v>
      </c>
      <c r="AG34" s="1313"/>
      <c r="AH34" s="1307">
        <v>190</v>
      </c>
      <c r="AI34" s="1307"/>
    </row>
    <row r="35" spans="2:35" ht="14.5">
      <c r="B35" s="1307">
        <v>24</v>
      </c>
      <c r="C35" s="1308" t="s">
        <v>1779</v>
      </c>
      <c r="D35" s="1308" t="s">
        <v>353</v>
      </c>
      <c r="E35" s="1308" t="s">
        <v>1754</v>
      </c>
      <c r="F35" s="1315">
        <v>2209792.4300000002</v>
      </c>
      <c r="G35" s="1316">
        <f t="shared" si="0"/>
        <v>773427.35050000006</v>
      </c>
      <c r="H35" s="1315">
        <v>167944.22468000001</v>
      </c>
      <c r="I35" s="1316">
        <f t="shared" si="1"/>
        <v>-58780.478638000001</v>
      </c>
      <c r="J35" s="1316">
        <f t="shared" si="8"/>
        <v>882591.09654200007</v>
      </c>
      <c r="K35" s="1317"/>
      <c r="L35" s="1315">
        <v>2209792.4300000002</v>
      </c>
      <c r="M35" s="1316">
        <f t="shared" si="2"/>
        <v>464056.41030000005</v>
      </c>
      <c r="N35" s="1315">
        <v>167944.22468000001</v>
      </c>
      <c r="O35" s="1316">
        <f t="shared" si="3"/>
        <v>-35268.287182799999</v>
      </c>
      <c r="P35" s="1316">
        <f t="shared" si="4"/>
        <v>596732.34779720008</v>
      </c>
      <c r="Q35" s="1318"/>
      <c r="R35" s="1316">
        <f t="shared" si="5"/>
        <v>285858.74874479999</v>
      </c>
      <c r="S35" s="1317"/>
      <c r="T35" s="1315">
        <v>0</v>
      </c>
      <c r="U35" s="1317"/>
      <c r="V35" s="1315">
        <v>0</v>
      </c>
      <c r="W35" s="1317"/>
      <c r="X35" s="1316">
        <f t="shared" si="6"/>
        <v>285858.74874479999</v>
      </c>
      <c r="Y35" s="1311"/>
      <c r="Z35" s="1312" t="s">
        <v>1776</v>
      </c>
      <c r="AA35" s="1313"/>
      <c r="AB35" s="1312" t="s">
        <v>37</v>
      </c>
      <c r="AC35" s="1313"/>
      <c r="AD35" s="1820">
        <v>0</v>
      </c>
      <c r="AE35" s="1313"/>
      <c r="AF35" s="1316">
        <f t="shared" si="7"/>
        <v>0</v>
      </c>
      <c r="AG35" s="1313"/>
      <c r="AH35" s="1307">
        <v>190</v>
      </c>
      <c r="AI35" s="1307"/>
    </row>
    <row r="36" spans="2:35" ht="14.5">
      <c r="B36" s="1307">
        <v>25</v>
      </c>
      <c r="C36" s="1308" t="s">
        <v>1780</v>
      </c>
      <c r="D36" s="1308" t="s">
        <v>356</v>
      </c>
      <c r="E36" s="1308" t="s">
        <v>1754</v>
      </c>
      <c r="F36" s="1315">
        <v>0</v>
      </c>
      <c r="G36" s="1316">
        <f t="shared" si="0"/>
        <v>0</v>
      </c>
      <c r="H36" s="1315">
        <v>12533.445</v>
      </c>
      <c r="I36" s="1316">
        <f t="shared" si="1"/>
        <v>-4386.7057499999992</v>
      </c>
      <c r="J36" s="1316">
        <f t="shared" si="8"/>
        <v>8146.7392500000005</v>
      </c>
      <c r="K36" s="1317"/>
      <c r="L36" s="1315">
        <v>0</v>
      </c>
      <c r="M36" s="1316">
        <f t="shared" si="2"/>
        <v>0</v>
      </c>
      <c r="N36" s="1315">
        <v>12533.445</v>
      </c>
      <c r="O36" s="1316">
        <f t="shared" si="3"/>
        <v>-2632.0234499999997</v>
      </c>
      <c r="P36" s="1316">
        <f t="shared" si="4"/>
        <v>9901.4215499999991</v>
      </c>
      <c r="Q36" s="1318"/>
      <c r="R36" s="1316">
        <f t="shared" si="5"/>
        <v>-1754.6822999999986</v>
      </c>
      <c r="S36" s="1317"/>
      <c r="T36" s="1315">
        <v>-1754.6822999999986</v>
      </c>
      <c r="U36" s="1317"/>
      <c r="V36" s="1315">
        <v>0</v>
      </c>
      <c r="W36" s="1317"/>
      <c r="X36" s="1316">
        <f t="shared" si="6"/>
        <v>0</v>
      </c>
      <c r="Y36" s="1311"/>
      <c r="Z36" s="1312" t="s">
        <v>346</v>
      </c>
      <c r="AA36" s="1313"/>
      <c r="AB36" s="1312" t="s">
        <v>37</v>
      </c>
      <c r="AC36" s="1313"/>
      <c r="AD36" s="1820">
        <v>0</v>
      </c>
      <c r="AE36" s="1313"/>
      <c r="AF36" s="1316">
        <f t="shared" si="7"/>
        <v>0</v>
      </c>
      <c r="AG36" s="1313"/>
      <c r="AH36" s="1307">
        <v>190</v>
      </c>
      <c r="AI36" s="1307"/>
    </row>
    <row r="37" spans="2:35" ht="14.5">
      <c r="B37" s="1307">
        <v>26</v>
      </c>
      <c r="C37" s="1308" t="s">
        <v>1781</v>
      </c>
      <c r="D37" s="1308" t="s">
        <v>356</v>
      </c>
      <c r="E37" s="1308" t="s">
        <v>1754</v>
      </c>
      <c r="F37" s="1315">
        <v>0</v>
      </c>
      <c r="G37" s="1316">
        <f t="shared" si="0"/>
        <v>0</v>
      </c>
      <c r="H37" s="1315">
        <v>8634.1509999999998</v>
      </c>
      <c r="I37" s="1316">
        <f t="shared" si="1"/>
        <v>-3021.9528499999997</v>
      </c>
      <c r="J37" s="1316">
        <f t="shared" si="8"/>
        <v>5612.1981500000002</v>
      </c>
      <c r="K37" s="1317"/>
      <c r="L37" s="1315">
        <v>0</v>
      </c>
      <c r="M37" s="1316">
        <f t="shared" si="2"/>
        <v>0</v>
      </c>
      <c r="N37" s="1315">
        <v>8634.1509999999998</v>
      </c>
      <c r="O37" s="1316">
        <f t="shared" si="3"/>
        <v>-1813.1717099999998</v>
      </c>
      <c r="P37" s="1316">
        <f t="shared" si="4"/>
        <v>6820.9792900000002</v>
      </c>
      <c r="Q37" s="1318"/>
      <c r="R37" s="1316">
        <f t="shared" si="5"/>
        <v>-1208.7811400000001</v>
      </c>
      <c r="S37" s="1317"/>
      <c r="T37" s="1315">
        <v>-1208.7811400000001</v>
      </c>
      <c r="U37" s="1317"/>
      <c r="V37" s="1315">
        <v>0</v>
      </c>
      <c r="W37" s="1317"/>
      <c r="X37" s="1316">
        <f t="shared" si="6"/>
        <v>0</v>
      </c>
      <c r="Y37" s="1311"/>
      <c r="Z37" s="1312" t="s">
        <v>346</v>
      </c>
      <c r="AA37" s="1313"/>
      <c r="AB37" s="1312" t="s">
        <v>37</v>
      </c>
      <c r="AC37" s="1313"/>
      <c r="AD37" s="1820">
        <v>0</v>
      </c>
      <c r="AE37" s="1313"/>
      <c r="AF37" s="1316">
        <f t="shared" si="7"/>
        <v>0</v>
      </c>
      <c r="AG37" s="1313"/>
      <c r="AH37" s="1307">
        <v>190</v>
      </c>
      <c r="AI37" s="1307"/>
    </row>
    <row r="38" spans="2:35" ht="14.5">
      <c r="B38" s="1307">
        <v>27</v>
      </c>
      <c r="C38" s="1308" t="s">
        <v>1782</v>
      </c>
      <c r="D38" s="1308" t="s">
        <v>1783</v>
      </c>
      <c r="E38" s="1308" t="s">
        <v>1754</v>
      </c>
      <c r="F38" s="1315">
        <v>12748541</v>
      </c>
      <c r="G38" s="1316">
        <f t="shared" si="0"/>
        <v>4461989.3499999996</v>
      </c>
      <c r="H38" s="1315">
        <v>0</v>
      </c>
      <c r="I38" s="1316">
        <f t="shared" si="1"/>
        <v>0</v>
      </c>
      <c r="J38" s="1316">
        <f t="shared" si="8"/>
        <v>4461989.3499999996</v>
      </c>
      <c r="K38" s="1317"/>
      <c r="L38" s="1315">
        <v>12748541</v>
      </c>
      <c r="M38" s="1316">
        <f t="shared" si="2"/>
        <v>2677193.61</v>
      </c>
      <c r="N38" s="1315">
        <v>0</v>
      </c>
      <c r="O38" s="1316">
        <f t="shared" si="3"/>
        <v>0</v>
      </c>
      <c r="P38" s="1316">
        <f t="shared" si="4"/>
        <v>2677193.61</v>
      </c>
      <c r="Q38" s="1318"/>
      <c r="R38" s="1316">
        <f t="shared" si="5"/>
        <v>1784795.7399999998</v>
      </c>
      <c r="S38" s="1317"/>
      <c r="T38" s="1315">
        <v>1784795.7399999998</v>
      </c>
      <c r="U38" s="1317"/>
      <c r="V38" s="1315">
        <v>0</v>
      </c>
      <c r="W38" s="1317"/>
      <c r="X38" s="1316">
        <f t="shared" si="6"/>
        <v>0</v>
      </c>
      <c r="Y38" s="1311"/>
      <c r="Z38" s="1312" t="s">
        <v>346</v>
      </c>
      <c r="AA38" s="1313"/>
      <c r="AB38" s="1312" t="s">
        <v>37</v>
      </c>
      <c r="AC38" s="1313"/>
      <c r="AD38" s="1820">
        <v>0</v>
      </c>
      <c r="AE38" s="1313"/>
      <c r="AF38" s="1316">
        <f t="shared" si="7"/>
        <v>0</v>
      </c>
      <c r="AG38" s="1313"/>
      <c r="AH38" s="1307">
        <v>190</v>
      </c>
      <c r="AI38" s="1307"/>
    </row>
    <row r="39" spans="2:35" ht="14.5">
      <c r="B39" s="1307">
        <v>28</v>
      </c>
      <c r="C39" s="1308" t="s">
        <v>1784</v>
      </c>
      <c r="D39" s="1308" t="s">
        <v>1783</v>
      </c>
      <c r="E39" s="1308" t="s">
        <v>1754</v>
      </c>
      <c r="F39" s="1315">
        <v>0</v>
      </c>
      <c r="G39" s="1316">
        <f t="shared" si="0"/>
        <v>0</v>
      </c>
      <c r="H39" s="1315">
        <v>626544.94499999995</v>
      </c>
      <c r="I39" s="1316">
        <f t="shared" si="1"/>
        <v>-219290.73074999996</v>
      </c>
      <c r="J39" s="1316">
        <f t="shared" si="8"/>
        <v>407254.21424999996</v>
      </c>
      <c r="K39" s="1317"/>
      <c r="L39" s="1315">
        <v>0</v>
      </c>
      <c r="M39" s="1316">
        <f t="shared" si="2"/>
        <v>0</v>
      </c>
      <c r="N39" s="1315">
        <v>626544.94499999995</v>
      </c>
      <c r="O39" s="1316">
        <f t="shared" si="3"/>
        <v>-131574.43844999999</v>
      </c>
      <c r="P39" s="1316">
        <f t="shared" si="4"/>
        <v>494970.50654999993</v>
      </c>
      <c r="Q39" s="1318"/>
      <c r="R39" s="1316">
        <f t="shared" si="5"/>
        <v>-87716.292299999972</v>
      </c>
      <c r="S39" s="1317"/>
      <c r="T39" s="1315">
        <v>-87716.292299999972</v>
      </c>
      <c r="U39" s="1317"/>
      <c r="V39" s="1315">
        <v>0</v>
      </c>
      <c r="W39" s="1317"/>
      <c r="X39" s="1316">
        <f t="shared" si="6"/>
        <v>0</v>
      </c>
      <c r="Y39" s="1311"/>
      <c r="Z39" s="1312" t="s">
        <v>346</v>
      </c>
      <c r="AA39" s="1313"/>
      <c r="AB39" s="1312" t="s">
        <v>37</v>
      </c>
      <c r="AC39" s="1313"/>
      <c r="AD39" s="1820">
        <v>0</v>
      </c>
      <c r="AE39" s="1313"/>
      <c r="AF39" s="1316">
        <f t="shared" si="7"/>
        <v>0</v>
      </c>
      <c r="AG39" s="1313"/>
      <c r="AH39" s="1307">
        <v>190</v>
      </c>
      <c r="AI39" s="1307"/>
    </row>
    <row r="40" spans="2:35" ht="14.5">
      <c r="B40" s="1307">
        <v>29</v>
      </c>
      <c r="C40" s="1308" t="s">
        <v>1785</v>
      </c>
      <c r="D40" s="1308" t="s">
        <v>1783</v>
      </c>
      <c r="E40" s="1308" t="s">
        <v>1754</v>
      </c>
      <c r="F40" s="1315">
        <v>0</v>
      </c>
      <c r="G40" s="1316">
        <f t="shared" si="0"/>
        <v>0</v>
      </c>
      <c r="H40" s="1315">
        <v>438135.18300000002</v>
      </c>
      <c r="I40" s="1316">
        <f t="shared" si="1"/>
        <v>-153347.31404999999</v>
      </c>
      <c r="J40" s="1316">
        <f t="shared" si="8"/>
        <v>284787.86895000003</v>
      </c>
      <c r="K40" s="1317"/>
      <c r="L40" s="1315">
        <v>0</v>
      </c>
      <c r="M40" s="1316">
        <f t="shared" si="2"/>
        <v>0</v>
      </c>
      <c r="N40" s="1315">
        <v>438135.18300000002</v>
      </c>
      <c r="O40" s="1316">
        <f t="shared" si="3"/>
        <v>-92008.388430000006</v>
      </c>
      <c r="P40" s="1316">
        <f t="shared" si="4"/>
        <v>346126.79457000003</v>
      </c>
      <c r="Q40" s="1318"/>
      <c r="R40" s="1316">
        <f t="shared" si="5"/>
        <v>-61338.925619999995</v>
      </c>
      <c r="S40" s="1317"/>
      <c r="T40" s="1315">
        <v>-61338.925619999995</v>
      </c>
      <c r="U40" s="1317"/>
      <c r="V40" s="1315">
        <v>0</v>
      </c>
      <c r="W40" s="1317"/>
      <c r="X40" s="1316">
        <f t="shared" si="6"/>
        <v>0</v>
      </c>
      <c r="Y40" s="1311"/>
      <c r="Z40" s="1312" t="s">
        <v>346</v>
      </c>
      <c r="AA40" s="1313"/>
      <c r="AB40" s="1312" t="s">
        <v>37</v>
      </c>
      <c r="AC40" s="1313"/>
      <c r="AD40" s="1820">
        <v>0</v>
      </c>
      <c r="AE40" s="1313"/>
      <c r="AF40" s="1316">
        <f t="shared" si="7"/>
        <v>0</v>
      </c>
      <c r="AG40" s="1313"/>
      <c r="AH40" s="1307">
        <v>190</v>
      </c>
      <c r="AI40" s="1307"/>
    </row>
    <row r="41" spans="2:35" ht="14.5">
      <c r="B41" s="1307">
        <v>30</v>
      </c>
      <c r="C41" s="1308" t="s">
        <v>1786</v>
      </c>
      <c r="D41" s="1308" t="s">
        <v>352</v>
      </c>
      <c r="E41" s="1308" t="s">
        <v>1754</v>
      </c>
      <c r="F41" s="1315">
        <v>3175708</v>
      </c>
      <c r="G41" s="1316">
        <f t="shared" si="0"/>
        <v>1111497.7999999998</v>
      </c>
      <c r="H41" s="1315">
        <v>241353.80799999999</v>
      </c>
      <c r="I41" s="1316">
        <f t="shared" si="1"/>
        <v>-84473.832799999989</v>
      </c>
      <c r="J41" s="1316">
        <f t="shared" si="8"/>
        <v>1268377.7751999998</v>
      </c>
      <c r="K41" s="1317"/>
      <c r="L41" s="1315">
        <v>3175708</v>
      </c>
      <c r="M41" s="1316">
        <f t="shared" si="2"/>
        <v>666898.67999999993</v>
      </c>
      <c r="N41" s="1315">
        <v>241353.80799999999</v>
      </c>
      <c r="O41" s="1316">
        <f t="shared" si="3"/>
        <v>-50684.299679999996</v>
      </c>
      <c r="P41" s="1316">
        <f t="shared" si="4"/>
        <v>857568.18831999996</v>
      </c>
      <c r="Q41" s="1318"/>
      <c r="R41" s="1316">
        <f t="shared" si="5"/>
        <v>410809.58687999984</v>
      </c>
      <c r="S41" s="1317"/>
      <c r="T41" s="1315">
        <v>0</v>
      </c>
      <c r="U41" s="1317"/>
      <c r="V41" s="1315">
        <v>0</v>
      </c>
      <c r="W41" s="1317"/>
      <c r="X41" s="1316">
        <f t="shared" si="6"/>
        <v>410809.58687999984</v>
      </c>
      <c r="Y41" s="1311"/>
      <c r="Z41" s="1312" t="s">
        <v>346</v>
      </c>
      <c r="AA41" s="1313"/>
      <c r="AB41" s="1312" t="s">
        <v>36</v>
      </c>
      <c r="AC41" s="1313"/>
      <c r="AD41" s="1820">
        <v>0.10089999999999999</v>
      </c>
      <c r="AE41" s="1313"/>
      <c r="AF41" s="1316">
        <f t="shared" si="7"/>
        <v>41450.687316191979</v>
      </c>
      <c r="AG41" s="1313"/>
      <c r="AH41" s="1307">
        <v>190</v>
      </c>
      <c r="AI41" s="1307"/>
    </row>
    <row r="42" spans="2:35" ht="14.5">
      <c r="B42" s="1307">
        <v>31</v>
      </c>
      <c r="C42" s="1308" t="s">
        <v>1787</v>
      </c>
      <c r="D42" s="1308" t="s">
        <v>352</v>
      </c>
      <c r="E42" s="1308" t="s">
        <v>1754</v>
      </c>
      <c r="F42" s="1315">
        <v>771973.91</v>
      </c>
      <c r="G42" s="1316">
        <f t="shared" si="0"/>
        <v>270190.86849999998</v>
      </c>
      <c r="H42" s="1315">
        <v>58670.017160000003</v>
      </c>
      <c r="I42" s="1316">
        <f t="shared" si="1"/>
        <v>-20534.506006</v>
      </c>
      <c r="J42" s="1316">
        <f t="shared" si="8"/>
        <v>308326.37965399999</v>
      </c>
      <c r="K42" s="1317"/>
      <c r="L42" s="1315">
        <v>771973.91</v>
      </c>
      <c r="M42" s="1316">
        <f t="shared" si="2"/>
        <v>162114.52110000001</v>
      </c>
      <c r="N42" s="1315">
        <v>58670.017160000003</v>
      </c>
      <c r="O42" s="1316">
        <f t="shared" si="3"/>
        <v>-12320.703603600001</v>
      </c>
      <c r="P42" s="1316">
        <f t="shared" si="4"/>
        <v>208463.83465639999</v>
      </c>
      <c r="Q42" s="1318"/>
      <c r="R42" s="1316">
        <f t="shared" si="5"/>
        <v>99862.544997599995</v>
      </c>
      <c r="S42" s="1317"/>
      <c r="T42" s="1315">
        <v>0</v>
      </c>
      <c r="U42" s="1317"/>
      <c r="V42" s="1315">
        <v>0</v>
      </c>
      <c r="W42" s="1317"/>
      <c r="X42" s="1316">
        <f t="shared" si="6"/>
        <v>99862.544997599995</v>
      </c>
      <c r="Y42" s="1311"/>
      <c r="Z42" s="1312" t="s">
        <v>346</v>
      </c>
      <c r="AA42" s="1313"/>
      <c r="AB42" s="1312" t="s">
        <v>36</v>
      </c>
      <c r="AC42" s="1313"/>
      <c r="AD42" s="1820">
        <v>0.10089999999999999</v>
      </c>
      <c r="AE42" s="1313"/>
      <c r="AF42" s="1316">
        <f t="shared" si="7"/>
        <v>10076.130790257839</v>
      </c>
      <c r="AG42" s="1313"/>
      <c r="AH42" s="1307">
        <v>190</v>
      </c>
      <c r="AI42" s="1307"/>
    </row>
    <row r="43" spans="2:35" ht="14.5">
      <c r="B43" s="1307">
        <v>32</v>
      </c>
      <c r="C43" s="1308" t="s">
        <v>1788</v>
      </c>
      <c r="D43" s="1308" t="s">
        <v>352</v>
      </c>
      <c r="E43" s="1308" t="s">
        <v>1754</v>
      </c>
      <c r="F43" s="1315">
        <v>-22102</v>
      </c>
      <c r="G43" s="1316">
        <f t="shared" si="0"/>
        <v>-7735.7</v>
      </c>
      <c r="H43" s="1315">
        <v>-1679.752</v>
      </c>
      <c r="I43" s="1316">
        <f t="shared" si="1"/>
        <v>587.91319999999996</v>
      </c>
      <c r="J43" s="1316">
        <f t="shared" si="8"/>
        <v>-8827.5387999999984</v>
      </c>
      <c r="K43" s="1317"/>
      <c r="L43" s="1315">
        <v>-22102</v>
      </c>
      <c r="M43" s="1316">
        <f t="shared" si="2"/>
        <v>-4641.42</v>
      </c>
      <c r="N43" s="1315">
        <v>-1679.752</v>
      </c>
      <c r="O43" s="1316">
        <f t="shared" si="3"/>
        <v>352.74791999999997</v>
      </c>
      <c r="P43" s="1316">
        <f t="shared" si="4"/>
        <v>-5968.4240800000007</v>
      </c>
      <c r="Q43" s="1318"/>
      <c r="R43" s="1316">
        <f t="shared" si="5"/>
        <v>-2859.1147199999978</v>
      </c>
      <c r="S43" s="1317"/>
      <c r="T43" s="1315">
        <v>-2859.1147199999996</v>
      </c>
      <c r="U43" s="1317"/>
      <c r="V43" s="1315">
        <v>0</v>
      </c>
      <c r="W43" s="1317"/>
      <c r="X43" s="1316">
        <f t="shared" si="6"/>
        <v>1.8189894035458565E-12</v>
      </c>
      <c r="Y43" s="1311"/>
      <c r="Z43" s="1312" t="s">
        <v>346</v>
      </c>
      <c r="AA43" s="1313"/>
      <c r="AB43" s="1312" t="s">
        <v>37</v>
      </c>
      <c r="AC43" s="1313"/>
      <c r="AD43" s="1820">
        <v>0</v>
      </c>
      <c r="AE43" s="1313"/>
      <c r="AF43" s="1316">
        <f t="shared" si="7"/>
        <v>0</v>
      </c>
      <c r="AG43" s="1313"/>
      <c r="AH43" s="1307">
        <v>190</v>
      </c>
      <c r="AI43" s="1307"/>
    </row>
    <row r="44" spans="2:35" ht="14.5">
      <c r="B44" s="1307">
        <v>33</v>
      </c>
      <c r="C44" s="1308" t="s">
        <v>1789</v>
      </c>
      <c r="D44" s="1308" t="s">
        <v>355</v>
      </c>
      <c r="E44" s="1308" t="s">
        <v>1754</v>
      </c>
      <c r="F44" s="1315">
        <v>26684952.210000001</v>
      </c>
      <c r="G44" s="1316">
        <f t="shared" si="0"/>
        <v>9339733.2734999992</v>
      </c>
      <c r="H44" s="1315">
        <v>2028056.3679599999</v>
      </c>
      <c r="I44" s="1316">
        <f t="shared" si="1"/>
        <v>-709819.72878599993</v>
      </c>
      <c r="J44" s="1316">
        <f t="shared" si="8"/>
        <v>10657969.912674</v>
      </c>
      <c r="K44" s="1317"/>
      <c r="L44" s="1315">
        <v>26684952.210000001</v>
      </c>
      <c r="M44" s="1316">
        <f t="shared" si="2"/>
        <v>5603839.9640999995</v>
      </c>
      <c r="N44" s="1315">
        <v>2028056.3679599999</v>
      </c>
      <c r="O44" s="1316">
        <f t="shared" si="3"/>
        <v>-425891.83727159997</v>
      </c>
      <c r="P44" s="1316">
        <f t="shared" si="4"/>
        <v>7206004.4947883999</v>
      </c>
      <c r="Q44" s="1318"/>
      <c r="R44" s="1316">
        <f t="shared" si="5"/>
        <v>3451965.4178856006</v>
      </c>
      <c r="S44" s="1317"/>
      <c r="T44" s="1315">
        <v>0</v>
      </c>
      <c r="U44" s="1317"/>
      <c r="V44" s="1315">
        <v>0</v>
      </c>
      <c r="W44" s="1317"/>
      <c r="X44" s="1316">
        <f t="shared" si="6"/>
        <v>3451965.4178856006</v>
      </c>
      <c r="Y44" s="1311"/>
      <c r="Z44" s="1312" t="s">
        <v>346</v>
      </c>
      <c r="AA44" s="1313"/>
      <c r="AB44" s="1312" t="s">
        <v>37</v>
      </c>
      <c r="AC44" s="1313"/>
      <c r="AD44" s="1820">
        <v>0</v>
      </c>
      <c r="AE44" s="1313"/>
      <c r="AF44" s="1316">
        <f t="shared" si="7"/>
        <v>0</v>
      </c>
      <c r="AG44" s="1313"/>
      <c r="AH44" s="1307">
        <v>190</v>
      </c>
      <c r="AI44" s="1307"/>
    </row>
    <row r="45" spans="2:35" ht="14.5">
      <c r="B45" s="1307">
        <v>34</v>
      </c>
      <c r="C45" s="1308" t="s">
        <v>1790</v>
      </c>
      <c r="D45" s="1308" t="s">
        <v>357</v>
      </c>
      <c r="E45" s="1308" t="s">
        <v>1754</v>
      </c>
      <c r="F45" s="1315">
        <v>36501921.700000003</v>
      </c>
      <c r="G45" s="1316">
        <f t="shared" si="0"/>
        <v>12775672.595000001</v>
      </c>
      <c r="H45" s="1315">
        <v>2774146.0492000002</v>
      </c>
      <c r="I45" s="1316">
        <f t="shared" si="1"/>
        <v>-970951.11722000001</v>
      </c>
      <c r="J45" s="1316">
        <f t="shared" si="8"/>
        <v>14578867.526980001</v>
      </c>
      <c r="K45" s="1317"/>
      <c r="L45" s="1315">
        <v>36501921.700000003</v>
      </c>
      <c r="M45" s="1316">
        <f t="shared" si="2"/>
        <v>7665403.557</v>
      </c>
      <c r="N45" s="1315">
        <v>2774146.0492000002</v>
      </c>
      <c r="O45" s="1316">
        <f t="shared" si="3"/>
        <v>-582570.67033200001</v>
      </c>
      <c r="P45" s="1316">
        <f t="shared" si="4"/>
        <v>9856978.9358680006</v>
      </c>
      <c r="Q45" s="1318"/>
      <c r="R45" s="1316">
        <f t="shared" si="5"/>
        <v>4721888.5911120009</v>
      </c>
      <c r="S45" s="1317"/>
      <c r="T45" s="1315">
        <v>0</v>
      </c>
      <c r="U45" s="1317"/>
      <c r="V45" s="1315">
        <v>0</v>
      </c>
      <c r="W45" s="1317"/>
      <c r="X45" s="1316">
        <f t="shared" si="6"/>
        <v>4721888.5911120009</v>
      </c>
      <c r="Y45" s="1311"/>
      <c r="Z45" s="1312" t="s">
        <v>346</v>
      </c>
      <c r="AA45" s="1313"/>
      <c r="AB45" s="1312" t="s">
        <v>36</v>
      </c>
      <c r="AC45" s="1313"/>
      <c r="AD45" s="1820">
        <v>0.10089999999999999</v>
      </c>
      <c r="AE45" s="1313"/>
      <c r="AF45" s="1316">
        <f t="shared" si="7"/>
        <v>476438.55884320085</v>
      </c>
      <c r="AG45" s="1313"/>
      <c r="AH45" s="1307">
        <v>190</v>
      </c>
      <c r="AI45" s="1307"/>
    </row>
    <row r="46" spans="2:35" ht="14.5">
      <c r="B46" s="1307">
        <v>35</v>
      </c>
      <c r="C46" s="1308" t="s">
        <v>1791</v>
      </c>
      <c r="D46" s="1308" t="s">
        <v>362</v>
      </c>
      <c r="E46" s="1308" t="s">
        <v>1754</v>
      </c>
      <c r="F46" s="1315">
        <v>305637</v>
      </c>
      <c r="G46" s="1316">
        <f t="shared" si="0"/>
        <v>106972.95</v>
      </c>
      <c r="H46" s="1315">
        <v>23228.412</v>
      </c>
      <c r="I46" s="1316">
        <f t="shared" si="1"/>
        <v>-8129.9441999999999</v>
      </c>
      <c r="J46" s="1316">
        <f t="shared" si="8"/>
        <v>122071.4178</v>
      </c>
      <c r="K46" s="1317"/>
      <c r="L46" s="1315">
        <v>305637</v>
      </c>
      <c r="M46" s="1316">
        <f t="shared" si="2"/>
        <v>64183.77</v>
      </c>
      <c r="N46" s="1315">
        <v>23228.412</v>
      </c>
      <c r="O46" s="1316">
        <f t="shared" si="3"/>
        <v>-4877.9665199999999</v>
      </c>
      <c r="P46" s="1316">
        <f t="shared" si="4"/>
        <v>82534.215479999999</v>
      </c>
      <c r="Q46" s="1318"/>
      <c r="R46" s="1316">
        <f t="shared" si="5"/>
        <v>39537.202319999997</v>
      </c>
      <c r="S46" s="1317"/>
      <c r="T46" s="1315">
        <v>39537.202319999997</v>
      </c>
      <c r="U46" s="1317"/>
      <c r="V46" s="1315">
        <v>0</v>
      </c>
      <c r="W46" s="1317"/>
      <c r="X46" s="1316">
        <f t="shared" si="6"/>
        <v>0</v>
      </c>
      <c r="Y46" s="1311"/>
      <c r="Z46" s="1312" t="s">
        <v>346</v>
      </c>
      <c r="AA46" s="1313"/>
      <c r="AB46" s="1312" t="s">
        <v>37</v>
      </c>
      <c r="AC46" s="1313"/>
      <c r="AD46" s="1820">
        <v>0</v>
      </c>
      <c r="AE46" s="1313"/>
      <c r="AF46" s="1316">
        <f t="shared" si="7"/>
        <v>0</v>
      </c>
      <c r="AG46" s="1313"/>
      <c r="AH46" s="1307">
        <v>190</v>
      </c>
      <c r="AI46" s="1307"/>
    </row>
    <row r="47" spans="2:35" ht="14.5">
      <c r="B47" s="1307">
        <v>36</v>
      </c>
      <c r="C47" s="1308" t="s">
        <v>1792</v>
      </c>
      <c r="D47" s="1308" t="s">
        <v>361</v>
      </c>
      <c r="E47" s="1308" t="s">
        <v>1754</v>
      </c>
      <c r="F47" s="1315">
        <v>789383</v>
      </c>
      <c r="G47" s="1316">
        <f t="shared" si="0"/>
        <v>276284.05</v>
      </c>
      <c r="H47" s="1315">
        <v>59993.108</v>
      </c>
      <c r="I47" s="1316">
        <f t="shared" si="1"/>
        <v>-20997.587799999998</v>
      </c>
      <c r="J47" s="1316">
        <f t="shared" si="8"/>
        <v>315279.57020000002</v>
      </c>
      <c r="K47" s="1317"/>
      <c r="L47" s="1315">
        <v>789383</v>
      </c>
      <c r="M47" s="1316">
        <f t="shared" si="2"/>
        <v>165770.43</v>
      </c>
      <c r="N47" s="1315">
        <v>59993.108</v>
      </c>
      <c r="O47" s="1316">
        <f t="shared" si="3"/>
        <v>-12598.552679999999</v>
      </c>
      <c r="P47" s="1316">
        <f t="shared" si="4"/>
        <v>213164.98532000001</v>
      </c>
      <c r="Q47" s="1318"/>
      <c r="R47" s="1316">
        <f t="shared" si="5"/>
        <v>102114.58488000001</v>
      </c>
      <c r="S47" s="1317"/>
      <c r="T47" s="1315">
        <v>102114.58487999995</v>
      </c>
      <c r="U47" s="1317"/>
      <c r="V47" s="1315">
        <v>0</v>
      </c>
      <c r="W47" s="1317"/>
      <c r="X47" s="1316">
        <f t="shared" si="6"/>
        <v>5.8207660913467407E-11</v>
      </c>
      <c r="Y47" s="1311"/>
      <c r="Z47" s="1312" t="s">
        <v>346</v>
      </c>
      <c r="AA47" s="1313"/>
      <c r="AB47" s="1312" t="s">
        <v>37</v>
      </c>
      <c r="AC47" s="1313"/>
      <c r="AD47" s="1820">
        <v>0</v>
      </c>
      <c r="AE47" s="1313"/>
      <c r="AF47" s="1316">
        <f t="shared" si="7"/>
        <v>0</v>
      </c>
      <c r="AG47" s="1313"/>
      <c r="AH47" s="1307">
        <v>190</v>
      </c>
      <c r="AI47" s="1307"/>
    </row>
    <row r="48" spans="2:35" ht="14.5">
      <c r="B48" s="1307">
        <v>37</v>
      </c>
      <c r="C48" s="1308" t="s">
        <v>1793</v>
      </c>
      <c r="D48" s="1308" t="s">
        <v>361</v>
      </c>
      <c r="E48" s="1308" t="s">
        <v>1754</v>
      </c>
      <c r="F48" s="1315">
        <v>2068546</v>
      </c>
      <c r="G48" s="1316">
        <f t="shared" si="0"/>
        <v>723991.1</v>
      </c>
      <c r="H48" s="1315">
        <v>157209.49599999998</v>
      </c>
      <c r="I48" s="1316">
        <f t="shared" si="1"/>
        <v>-55023.323599999989</v>
      </c>
      <c r="J48" s="1316">
        <f t="shared" si="8"/>
        <v>826177.2723999999</v>
      </c>
      <c r="K48" s="1317"/>
      <c r="L48" s="1315">
        <v>2068546</v>
      </c>
      <c r="M48" s="1316">
        <f t="shared" si="2"/>
        <v>434394.66</v>
      </c>
      <c r="N48" s="1315">
        <v>157209.49599999998</v>
      </c>
      <c r="O48" s="1316">
        <f t="shared" si="3"/>
        <v>-33013.994159999995</v>
      </c>
      <c r="P48" s="1316">
        <f t="shared" si="4"/>
        <v>558590.16183999996</v>
      </c>
      <c r="Q48" s="1318"/>
      <c r="R48" s="1316">
        <f t="shared" si="5"/>
        <v>267587.11055999994</v>
      </c>
      <c r="S48" s="1317"/>
      <c r="T48" s="1315">
        <v>267587.11055999994</v>
      </c>
      <c r="U48" s="1317"/>
      <c r="V48" s="1315">
        <v>0</v>
      </c>
      <c r="W48" s="1317"/>
      <c r="X48" s="1316">
        <f t="shared" si="6"/>
        <v>0</v>
      </c>
      <c r="Y48" s="1311"/>
      <c r="Z48" s="1312" t="s">
        <v>346</v>
      </c>
      <c r="AA48" s="1313"/>
      <c r="AB48" s="1312" t="s">
        <v>37</v>
      </c>
      <c r="AC48" s="1313"/>
      <c r="AD48" s="1820">
        <v>0</v>
      </c>
      <c r="AE48" s="1313"/>
      <c r="AF48" s="1316">
        <f t="shared" si="7"/>
        <v>0</v>
      </c>
      <c r="AG48" s="1313"/>
      <c r="AH48" s="1307">
        <v>190</v>
      </c>
      <c r="AI48" s="1307"/>
    </row>
    <row r="49" spans="2:35" ht="14.5">
      <c r="B49" s="1307">
        <v>38</v>
      </c>
      <c r="C49" s="1308" t="s">
        <v>1794</v>
      </c>
      <c r="D49" s="1308" t="s">
        <v>361</v>
      </c>
      <c r="E49" s="1308" t="s">
        <v>1754</v>
      </c>
      <c r="F49" s="1315">
        <v>9120595.5900000036</v>
      </c>
      <c r="G49" s="1316">
        <f t="shared" si="0"/>
        <v>3192208.4565000013</v>
      </c>
      <c r="H49" s="1315">
        <v>693165.26484000031</v>
      </c>
      <c r="I49" s="1316">
        <f t="shared" si="1"/>
        <v>-242607.84269400008</v>
      </c>
      <c r="J49" s="1316">
        <f t="shared" si="8"/>
        <v>3642765.8786460017</v>
      </c>
      <c r="K49" s="1317"/>
      <c r="L49" s="1315">
        <v>9120595.5900000036</v>
      </c>
      <c r="M49" s="1316">
        <f t="shared" si="2"/>
        <v>1915325.0739000007</v>
      </c>
      <c r="N49" s="1315">
        <v>693165.26484000031</v>
      </c>
      <c r="O49" s="1316">
        <f t="shared" si="3"/>
        <v>-145564.70561640005</v>
      </c>
      <c r="P49" s="1316">
        <f t="shared" si="4"/>
        <v>2462925.6331236009</v>
      </c>
      <c r="Q49" s="1318"/>
      <c r="R49" s="1316">
        <f t="shared" si="5"/>
        <v>1179840.2455224008</v>
      </c>
      <c r="S49" s="1317"/>
      <c r="T49" s="1315">
        <v>1179840.2455224008</v>
      </c>
      <c r="U49" s="1317"/>
      <c r="V49" s="1315">
        <v>0</v>
      </c>
      <c r="W49" s="1317"/>
      <c r="X49" s="1316">
        <f t="shared" si="6"/>
        <v>0</v>
      </c>
      <c r="Y49" s="1311"/>
      <c r="Z49" s="1312" t="s">
        <v>346</v>
      </c>
      <c r="AA49" s="1313"/>
      <c r="AB49" s="1312" t="s">
        <v>37</v>
      </c>
      <c r="AC49" s="1313"/>
      <c r="AD49" s="1820">
        <v>0</v>
      </c>
      <c r="AE49" s="1313"/>
      <c r="AF49" s="1316">
        <f t="shared" si="7"/>
        <v>0</v>
      </c>
      <c r="AG49" s="1313"/>
      <c r="AH49" s="1307">
        <v>190</v>
      </c>
      <c r="AI49" s="1307"/>
    </row>
    <row r="50" spans="2:35" ht="14.5">
      <c r="B50" s="1307">
        <v>39</v>
      </c>
      <c r="C50" s="1308" t="s">
        <v>1795</v>
      </c>
      <c r="D50" s="1308" t="s">
        <v>361</v>
      </c>
      <c r="E50" s="1308" t="s">
        <v>1754</v>
      </c>
      <c r="F50" s="1315">
        <v>5554248.7300000004</v>
      </c>
      <c r="G50" s="1316">
        <f t="shared" si="0"/>
        <v>1943987.0555</v>
      </c>
      <c r="H50" s="1315">
        <v>422122.90348000004</v>
      </c>
      <c r="I50" s="1316">
        <f t="shared" si="1"/>
        <v>-147743.016218</v>
      </c>
      <c r="J50" s="1316">
        <f t="shared" si="8"/>
        <v>2218366.942762</v>
      </c>
      <c r="K50" s="1317"/>
      <c r="L50" s="1315">
        <v>5554248.7300000004</v>
      </c>
      <c r="M50" s="1316">
        <f t="shared" si="2"/>
        <v>1166392.2333</v>
      </c>
      <c r="N50" s="1315">
        <v>422122.90348000004</v>
      </c>
      <c r="O50" s="1316">
        <f t="shared" si="3"/>
        <v>-88645.8097308</v>
      </c>
      <c r="P50" s="1316">
        <f t="shared" si="4"/>
        <v>1499869.3270492</v>
      </c>
      <c r="Q50" s="1318"/>
      <c r="R50" s="1316">
        <f t="shared" si="5"/>
        <v>718497.61571280006</v>
      </c>
      <c r="S50" s="1317"/>
      <c r="T50" s="1315">
        <v>718497.61571280006</v>
      </c>
      <c r="U50" s="1317"/>
      <c r="V50" s="1315">
        <v>0</v>
      </c>
      <c r="W50" s="1317"/>
      <c r="X50" s="1316">
        <f t="shared" si="6"/>
        <v>0</v>
      </c>
      <c r="Y50" s="1311"/>
      <c r="Z50" s="1312" t="s">
        <v>346</v>
      </c>
      <c r="AA50" s="1313"/>
      <c r="AB50" s="1312" t="s">
        <v>37</v>
      </c>
      <c r="AC50" s="1313"/>
      <c r="AD50" s="1820">
        <v>0</v>
      </c>
      <c r="AE50" s="1313"/>
      <c r="AF50" s="1316">
        <f t="shared" si="7"/>
        <v>0</v>
      </c>
      <c r="AG50" s="1313"/>
      <c r="AH50" s="1307">
        <v>190</v>
      </c>
      <c r="AI50" s="1307"/>
    </row>
    <row r="51" spans="2:35" ht="14.5">
      <c r="B51" s="1307">
        <v>40</v>
      </c>
      <c r="C51" s="1308" t="s">
        <v>1796</v>
      </c>
      <c r="D51" s="1308" t="s">
        <v>361</v>
      </c>
      <c r="E51" s="1308" t="s">
        <v>1754</v>
      </c>
      <c r="F51" s="1315">
        <v>14115127.310000001</v>
      </c>
      <c r="G51" s="1316">
        <f t="shared" si="0"/>
        <v>4940294.5585000003</v>
      </c>
      <c r="H51" s="1315">
        <v>1072749.6755600001</v>
      </c>
      <c r="I51" s="1316">
        <f t="shared" si="1"/>
        <v>-375462.38644600002</v>
      </c>
      <c r="J51" s="1316">
        <f t="shared" si="8"/>
        <v>5637581.8476140006</v>
      </c>
      <c r="K51" s="1317"/>
      <c r="L51" s="1315">
        <v>14115127.310000001</v>
      </c>
      <c r="M51" s="1316">
        <f t="shared" si="2"/>
        <v>2964176.7351000002</v>
      </c>
      <c r="N51" s="1315">
        <v>1072749.6755600001</v>
      </c>
      <c r="O51" s="1316">
        <f t="shared" si="3"/>
        <v>-225277.43186760001</v>
      </c>
      <c r="P51" s="1316">
        <f t="shared" si="4"/>
        <v>3811648.9787924006</v>
      </c>
      <c r="Q51" s="1318"/>
      <c r="R51" s="1316">
        <f t="shared" si="5"/>
        <v>1825932.8688216</v>
      </c>
      <c r="S51" s="1317"/>
      <c r="T51" s="1315">
        <v>1825932.8688216005</v>
      </c>
      <c r="U51" s="1317"/>
      <c r="V51" s="1315">
        <v>0</v>
      </c>
      <c r="W51" s="1317"/>
      <c r="X51" s="1316">
        <f t="shared" si="6"/>
        <v>-4.6566128730773926E-10</v>
      </c>
      <c r="Y51" s="1311"/>
      <c r="Z51" s="1312" t="s">
        <v>346</v>
      </c>
      <c r="AA51" s="1313"/>
      <c r="AB51" s="1312" t="s">
        <v>37</v>
      </c>
      <c r="AC51" s="1313"/>
      <c r="AD51" s="1820">
        <v>0</v>
      </c>
      <c r="AE51" s="1313"/>
      <c r="AF51" s="1316">
        <f t="shared" si="7"/>
        <v>0</v>
      </c>
      <c r="AG51" s="1313"/>
      <c r="AH51" s="1307">
        <v>190</v>
      </c>
      <c r="AI51" s="1307"/>
    </row>
    <row r="52" spans="2:35" ht="14.5">
      <c r="B52" s="1307">
        <v>41</v>
      </c>
      <c r="C52" s="1308" t="s">
        <v>1797</v>
      </c>
      <c r="D52" s="1308" t="s">
        <v>360</v>
      </c>
      <c r="E52" s="1308" t="s">
        <v>1754</v>
      </c>
      <c r="F52" s="1315">
        <v>701192.23</v>
      </c>
      <c r="G52" s="1316">
        <f t="shared" si="0"/>
        <v>245417.28049999996</v>
      </c>
      <c r="H52" s="1315">
        <v>53290.609479999999</v>
      </c>
      <c r="I52" s="1316">
        <f t="shared" si="1"/>
        <v>-18651.713317999998</v>
      </c>
      <c r="J52" s="1316">
        <f t="shared" si="8"/>
        <v>280056.17666199995</v>
      </c>
      <c r="K52" s="1317"/>
      <c r="L52" s="1315">
        <v>701192.23</v>
      </c>
      <c r="M52" s="1316">
        <f t="shared" si="2"/>
        <v>147250.3683</v>
      </c>
      <c r="N52" s="1315">
        <v>53290.609479999999</v>
      </c>
      <c r="O52" s="1316">
        <f t="shared" si="3"/>
        <v>-11191.027990799999</v>
      </c>
      <c r="P52" s="1316">
        <f t="shared" si="4"/>
        <v>189349.94978920001</v>
      </c>
      <c r="Q52" s="1318"/>
      <c r="R52" s="1316">
        <f t="shared" si="5"/>
        <v>90706.226872799947</v>
      </c>
      <c r="S52" s="1317"/>
      <c r="T52" s="1315">
        <v>0</v>
      </c>
      <c r="U52" s="1317"/>
      <c r="V52" s="1315">
        <v>0</v>
      </c>
      <c r="W52" s="1317"/>
      <c r="X52" s="1316">
        <f t="shared" si="6"/>
        <v>90706.226872799947</v>
      </c>
      <c r="Y52" s="1311"/>
      <c r="Z52" s="1312" t="s">
        <v>1756</v>
      </c>
      <c r="AA52" s="1313"/>
      <c r="AB52" s="1312" t="s">
        <v>37</v>
      </c>
      <c r="AC52" s="1313"/>
      <c r="AD52" s="1820">
        <v>0</v>
      </c>
      <c r="AE52" s="1313"/>
      <c r="AF52" s="1316">
        <f t="shared" si="7"/>
        <v>0</v>
      </c>
      <c r="AG52" s="1313"/>
      <c r="AH52" s="1307">
        <v>190</v>
      </c>
      <c r="AI52" s="1307"/>
    </row>
    <row r="53" spans="2:35" ht="14.5">
      <c r="B53" s="1307">
        <v>42</v>
      </c>
      <c r="C53" s="1308" t="s">
        <v>1798</v>
      </c>
      <c r="D53" s="1308" t="s">
        <v>360</v>
      </c>
      <c r="E53" s="1308" t="s">
        <v>1754</v>
      </c>
      <c r="F53" s="1315">
        <v>2500000</v>
      </c>
      <c r="G53" s="1316">
        <f t="shared" si="0"/>
        <v>875000</v>
      </c>
      <c r="H53" s="1315">
        <v>190000</v>
      </c>
      <c r="I53" s="1316">
        <f t="shared" si="1"/>
        <v>-66500</v>
      </c>
      <c r="J53" s="1316">
        <f t="shared" si="8"/>
        <v>998500</v>
      </c>
      <c r="K53" s="1317"/>
      <c r="L53" s="1315">
        <v>2500000</v>
      </c>
      <c r="M53" s="1316">
        <f t="shared" si="2"/>
        <v>525000</v>
      </c>
      <c r="N53" s="1315">
        <v>190000</v>
      </c>
      <c r="O53" s="1316">
        <f t="shared" si="3"/>
        <v>-39900</v>
      </c>
      <c r="P53" s="1316">
        <f t="shared" si="4"/>
        <v>675100</v>
      </c>
      <c r="Q53" s="1318"/>
      <c r="R53" s="1316">
        <f t="shared" si="5"/>
        <v>323400</v>
      </c>
      <c r="S53" s="1317"/>
      <c r="T53" s="1315">
        <v>323400</v>
      </c>
      <c r="U53" s="1317"/>
      <c r="V53" s="1315">
        <v>0</v>
      </c>
      <c r="W53" s="1317"/>
      <c r="X53" s="1316">
        <f t="shared" si="6"/>
        <v>0</v>
      </c>
      <c r="Y53" s="1311"/>
      <c r="Z53" s="1312" t="s">
        <v>346</v>
      </c>
      <c r="AA53" s="1313"/>
      <c r="AB53" s="1312" t="s">
        <v>37</v>
      </c>
      <c r="AC53" s="1313"/>
      <c r="AD53" s="1820">
        <v>0</v>
      </c>
      <c r="AE53" s="1313"/>
      <c r="AF53" s="1316">
        <f t="shared" si="7"/>
        <v>0</v>
      </c>
      <c r="AG53" s="1313"/>
      <c r="AH53" s="1307">
        <v>190</v>
      </c>
      <c r="AI53" s="1307"/>
    </row>
    <row r="54" spans="2:35" ht="14.5">
      <c r="B54" s="1307">
        <v>43</v>
      </c>
      <c r="C54" s="1308" t="s">
        <v>1799</v>
      </c>
      <c r="D54" s="1308" t="s">
        <v>360</v>
      </c>
      <c r="E54" s="1308" t="s">
        <v>1754</v>
      </c>
      <c r="F54" s="1315">
        <v>2959146</v>
      </c>
      <c r="G54" s="1316">
        <f t="shared" si="0"/>
        <v>1035701.1</v>
      </c>
      <c r="H54" s="1315">
        <v>0</v>
      </c>
      <c r="I54" s="1316">
        <f t="shared" si="1"/>
        <v>0</v>
      </c>
      <c r="J54" s="1316">
        <f t="shared" si="8"/>
        <v>1035701.1</v>
      </c>
      <c r="K54" s="1317"/>
      <c r="L54" s="1315">
        <v>2959146</v>
      </c>
      <c r="M54" s="1316">
        <f t="shared" si="2"/>
        <v>621420.66</v>
      </c>
      <c r="N54" s="1315">
        <v>0</v>
      </c>
      <c r="O54" s="1316">
        <f t="shared" si="3"/>
        <v>0</v>
      </c>
      <c r="P54" s="1316">
        <f t="shared" si="4"/>
        <v>621420.66</v>
      </c>
      <c r="Q54" s="1318"/>
      <c r="R54" s="1316">
        <f t="shared" si="5"/>
        <v>414280.43999999994</v>
      </c>
      <c r="S54" s="1317"/>
      <c r="T54" s="1315">
        <v>0</v>
      </c>
      <c r="U54" s="1317"/>
      <c r="V54" s="1315">
        <v>0</v>
      </c>
      <c r="W54" s="1317"/>
      <c r="X54" s="1316">
        <f t="shared" si="6"/>
        <v>414280.43999999994</v>
      </c>
      <c r="Y54" s="1311"/>
      <c r="Z54" s="1312" t="s">
        <v>346</v>
      </c>
      <c r="AA54" s="1313"/>
      <c r="AB54" s="1312" t="s">
        <v>36</v>
      </c>
      <c r="AC54" s="1313"/>
      <c r="AD54" s="1820">
        <v>0.10089999999999999</v>
      </c>
      <c r="AE54" s="1313"/>
      <c r="AF54" s="1316">
        <f t="shared" si="7"/>
        <v>41800.896395999989</v>
      </c>
      <c r="AG54" s="1313"/>
      <c r="AH54" s="1307">
        <v>190</v>
      </c>
      <c r="AI54" s="1307"/>
    </row>
    <row r="55" spans="2:35" ht="14.5">
      <c r="B55" s="1307">
        <v>44</v>
      </c>
      <c r="C55" s="1308" t="s">
        <v>1800</v>
      </c>
      <c r="D55" s="1308" t="s">
        <v>360</v>
      </c>
      <c r="E55" s="1308" t="s">
        <v>1754</v>
      </c>
      <c r="F55" s="1315">
        <v>0</v>
      </c>
      <c r="G55" s="1316">
        <f t="shared" si="0"/>
        <v>0</v>
      </c>
      <c r="H55" s="1315">
        <v>3630153.2849999997</v>
      </c>
      <c r="I55" s="1316">
        <f t="shared" si="1"/>
        <v>-1270553.6497499999</v>
      </c>
      <c r="J55" s="1316">
        <f t="shared" si="8"/>
        <v>2359599.6352499998</v>
      </c>
      <c r="K55" s="1317"/>
      <c r="L55" s="1315">
        <v>0</v>
      </c>
      <c r="M55" s="1316">
        <f t="shared" si="2"/>
        <v>0</v>
      </c>
      <c r="N55" s="1315">
        <v>3630153.2849999997</v>
      </c>
      <c r="O55" s="1316">
        <f t="shared" si="3"/>
        <v>-762332.18984999985</v>
      </c>
      <c r="P55" s="1316">
        <f t="shared" si="4"/>
        <v>2867821.09515</v>
      </c>
      <c r="Q55" s="1318"/>
      <c r="R55" s="1316">
        <f t="shared" si="5"/>
        <v>-508221.45990000013</v>
      </c>
      <c r="S55" s="1317"/>
      <c r="T55" s="1315">
        <v>0</v>
      </c>
      <c r="U55" s="1317"/>
      <c r="V55" s="1315">
        <v>0</v>
      </c>
      <c r="W55" s="1317"/>
      <c r="X55" s="1316">
        <f t="shared" si="6"/>
        <v>-508221.45990000013</v>
      </c>
      <c r="Y55" s="1311"/>
      <c r="Z55" s="1312" t="s">
        <v>1801</v>
      </c>
      <c r="AA55" s="1313"/>
      <c r="AB55" s="1312" t="s">
        <v>36</v>
      </c>
      <c r="AC55" s="1313"/>
      <c r="AD55" s="1820">
        <v>0.17320000000000002</v>
      </c>
      <c r="AE55" s="1313"/>
      <c r="AF55" s="1316">
        <f t="shared" si="7"/>
        <v>-88023.956854680029</v>
      </c>
      <c r="AG55" s="1313"/>
      <c r="AH55" s="1307">
        <v>190</v>
      </c>
      <c r="AI55" s="1307"/>
    </row>
    <row r="56" spans="2:35" ht="14.5">
      <c r="B56" s="1307">
        <v>45</v>
      </c>
      <c r="C56" s="1308" t="s">
        <v>1802</v>
      </c>
      <c r="D56" s="1308" t="s">
        <v>358</v>
      </c>
      <c r="E56" s="1308" t="s">
        <v>1754</v>
      </c>
      <c r="F56" s="1315">
        <v>3485134.96</v>
      </c>
      <c r="G56" s="1316">
        <f t="shared" si="0"/>
        <v>1219797.2359999998</v>
      </c>
      <c r="H56" s="1315">
        <v>264870.25695999997</v>
      </c>
      <c r="I56" s="1316">
        <f t="shared" si="1"/>
        <v>-92704.589935999989</v>
      </c>
      <c r="J56" s="1316">
        <f t="shared" si="8"/>
        <v>1391962.9030239997</v>
      </c>
      <c r="K56" s="1317"/>
      <c r="L56" s="1315">
        <v>3485134.96</v>
      </c>
      <c r="M56" s="1316">
        <f t="shared" si="2"/>
        <v>731878.34159999993</v>
      </c>
      <c r="N56" s="1315">
        <v>264870.25695999997</v>
      </c>
      <c r="O56" s="1316">
        <f t="shared" si="3"/>
        <v>-55622.753961599992</v>
      </c>
      <c r="P56" s="1316">
        <f t="shared" si="4"/>
        <v>941125.84459839982</v>
      </c>
      <c r="Q56" s="1318"/>
      <c r="R56" s="1316">
        <f t="shared" si="5"/>
        <v>450837.05842559983</v>
      </c>
      <c r="S56" s="1317"/>
      <c r="T56" s="1315">
        <v>0</v>
      </c>
      <c r="U56" s="1317"/>
      <c r="V56" s="1315">
        <v>0</v>
      </c>
      <c r="W56" s="1317"/>
      <c r="X56" s="1316">
        <f t="shared" si="6"/>
        <v>450837.05842559983</v>
      </c>
      <c r="Y56" s="1311"/>
      <c r="Z56" s="1312" t="s">
        <v>346</v>
      </c>
      <c r="AA56" s="1313"/>
      <c r="AB56" s="1312" t="s">
        <v>37</v>
      </c>
      <c r="AC56" s="1313"/>
      <c r="AD56" s="1820">
        <v>0</v>
      </c>
      <c r="AE56" s="1313"/>
      <c r="AF56" s="1316">
        <f t="shared" si="7"/>
        <v>0</v>
      </c>
      <c r="AG56" s="1313"/>
      <c r="AH56" s="1307">
        <v>190</v>
      </c>
      <c r="AI56" s="1307"/>
    </row>
    <row r="57" spans="2:35" ht="14.5">
      <c r="B57" s="1307">
        <v>46</v>
      </c>
      <c r="C57" s="1308" t="s">
        <v>1803</v>
      </c>
      <c r="D57" s="1308" t="s">
        <v>358</v>
      </c>
      <c r="E57" s="1308" t="s">
        <v>1754</v>
      </c>
      <c r="F57" s="1315">
        <v>-3357068.69</v>
      </c>
      <c r="G57" s="1316">
        <f t="shared" si="0"/>
        <v>-1174974.0414999998</v>
      </c>
      <c r="H57" s="1315">
        <v>-255137.22043999998</v>
      </c>
      <c r="I57" s="1316">
        <f t="shared" si="1"/>
        <v>89298.027153999981</v>
      </c>
      <c r="J57" s="1316">
        <f t="shared" si="8"/>
        <v>-1340813.2347859999</v>
      </c>
      <c r="K57" s="1317"/>
      <c r="L57" s="1315">
        <v>-3357068.69</v>
      </c>
      <c r="M57" s="1316">
        <f t="shared" si="2"/>
        <v>-704984.42489999998</v>
      </c>
      <c r="N57" s="1315">
        <v>-255137.22043999998</v>
      </c>
      <c r="O57" s="1316">
        <f t="shared" si="3"/>
        <v>53578.816292399992</v>
      </c>
      <c r="P57" s="1316">
        <f t="shared" si="4"/>
        <v>-906542.82904759992</v>
      </c>
      <c r="Q57" s="1318"/>
      <c r="R57" s="1316">
        <f t="shared" si="5"/>
        <v>-434270.40573839995</v>
      </c>
      <c r="S57" s="1317"/>
      <c r="T57" s="1315">
        <v>0</v>
      </c>
      <c r="U57" s="1317"/>
      <c r="V57" s="1315">
        <v>0</v>
      </c>
      <c r="W57" s="1317"/>
      <c r="X57" s="1316">
        <f t="shared" si="6"/>
        <v>-434270.40573839995</v>
      </c>
      <c r="Y57" s="1311"/>
      <c r="Z57" s="1312" t="s">
        <v>346</v>
      </c>
      <c r="AA57" s="1313"/>
      <c r="AB57" s="1312" t="s">
        <v>37</v>
      </c>
      <c r="AC57" s="1313"/>
      <c r="AD57" s="1820">
        <v>0</v>
      </c>
      <c r="AE57" s="1313"/>
      <c r="AF57" s="1316">
        <f t="shared" si="7"/>
        <v>0</v>
      </c>
      <c r="AG57" s="1313"/>
      <c r="AH57" s="1307">
        <v>190</v>
      </c>
      <c r="AI57" s="1307"/>
    </row>
    <row r="58" spans="2:35" ht="14.5">
      <c r="B58" s="1307">
        <v>47</v>
      </c>
      <c r="C58" s="1308" t="s">
        <v>1804</v>
      </c>
      <c r="D58" s="1308" t="s">
        <v>358</v>
      </c>
      <c r="E58" s="1308" t="s">
        <v>1754</v>
      </c>
      <c r="F58" s="1315">
        <v>3485134.96</v>
      </c>
      <c r="G58" s="1316">
        <f t="shared" si="0"/>
        <v>1219797.2359999998</v>
      </c>
      <c r="H58" s="1315">
        <v>264870.25695999997</v>
      </c>
      <c r="I58" s="1316">
        <f t="shared" si="1"/>
        <v>-92704.589935999989</v>
      </c>
      <c r="J58" s="1316">
        <f t="shared" si="8"/>
        <v>1391962.9030239997</v>
      </c>
      <c r="K58" s="1317"/>
      <c r="L58" s="1315">
        <v>3485134.96</v>
      </c>
      <c r="M58" s="1316">
        <f t="shared" si="2"/>
        <v>731878.34159999993</v>
      </c>
      <c r="N58" s="1315">
        <v>264870.25695999997</v>
      </c>
      <c r="O58" s="1316">
        <f t="shared" si="3"/>
        <v>-55622.753961599992</v>
      </c>
      <c r="P58" s="1316">
        <f t="shared" si="4"/>
        <v>941125.84459839982</v>
      </c>
      <c r="Q58" s="1318"/>
      <c r="R58" s="1316">
        <f t="shared" si="5"/>
        <v>450837.05842559983</v>
      </c>
      <c r="S58" s="1317"/>
      <c r="T58" s="1315">
        <v>0</v>
      </c>
      <c r="U58" s="1317"/>
      <c r="V58" s="1315">
        <v>0</v>
      </c>
      <c r="W58" s="1317"/>
      <c r="X58" s="1316">
        <f t="shared" si="6"/>
        <v>450837.05842559983</v>
      </c>
      <c r="Y58" s="1311"/>
      <c r="Z58" s="1312" t="s">
        <v>346</v>
      </c>
      <c r="AA58" s="1313"/>
      <c r="AB58" s="1312" t="s">
        <v>37</v>
      </c>
      <c r="AC58" s="1313"/>
      <c r="AD58" s="1820">
        <v>0</v>
      </c>
      <c r="AE58" s="1313"/>
      <c r="AF58" s="1316">
        <f t="shared" si="7"/>
        <v>0</v>
      </c>
      <c r="AG58" s="1313"/>
      <c r="AH58" s="1307">
        <v>190</v>
      </c>
      <c r="AI58" s="1307"/>
    </row>
    <row r="59" spans="2:35" ht="14.5">
      <c r="B59" s="1307">
        <v>48</v>
      </c>
      <c r="C59" s="1308" t="s">
        <v>1805</v>
      </c>
      <c r="D59" s="1308" t="s">
        <v>358</v>
      </c>
      <c r="E59" s="1308" t="s">
        <v>1754</v>
      </c>
      <c r="F59" s="1315">
        <v>-3485134.96</v>
      </c>
      <c r="G59" s="1316">
        <f t="shared" si="0"/>
        <v>-1219797.2359999998</v>
      </c>
      <c r="H59" s="1315">
        <v>-264870.25695999997</v>
      </c>
      <c r="I59" s="1316">
        <f t="shared" si="1"/>
        <v>92704.589935999989</v>
      </c>
      <c r="J59" s="1316">
        <f t="shared" si="8"/>
        <v>-1391962.9030239997</v>
      </c>
      <c r="K59" s="1317"/>
      <c r="L59" s="1315">
        <v>-3485134.96</v>
      </c>
      <c r="M59" s="1316">
        <f t="shared" si="2"/>
        <v>-731878.34159999993</v>
      </c>
      <c r="N59" s="1315">
        <v>-264870.25695999997</v>
      </c>
      <c r="O59" s="1316">
        <f t="shared" si="3"/>
        <v>55622.753961599992</v>
      </c>
      <c r="P59" s="1316">
        <f t="shared" si="4"/>
        <v>-941125.84459839982</v>
      </c>
      <c r="Q59" s="1318"/>
      <c r="R59" s="1316">
        <f t="shared" si="5"/>
        <v>-450837.05842559983</v>
      </c>
      <c r="S59" s="1317"/>
      <c r="T59" s="1315">
        <v>0</v>
      </c>
      <c r="U59" s="1317"/>
      <c r="V59" s="1315">
        <v>0</v>
      </c>
      <c r="W59" s="1317"/>
      <c r="X59" s="1316">
        <f t="shared" si="6"/>
        <v>-450837.05842559983</v>
      </c>
      <c r="Y59" s="1311"/>
      <c r="Z59" s="1312" t="s">
        <v>346</v>
      </c>
      <c r="AA59" s="1313"/>
      <c r="AB59" s="1312" t="s">
        <v>37</v>
      </c>
      <c r="AC59" s="1313"/>
      <c r="AD59" s="1820">
        <v>0</v>
      </c>
      <c r="AE59" s="1313"/>
      <c r="AF59" s="1316">
        <f t="shared" si="7"/>
        <v>0</v>
      </c>
      <c r="AG59" s="1313"/>
      <c r="AH59" s="1307">
        <v>190</v>
      </c>
      <c r="AI59" s="1307"/>
    </row>
    <row r="60" spans="2:35" ht="14.5">
      <c r="B60" s="1307">
        <v>49</v>
      </c>
      <c r="C60" s="1308" t="s">
        <v>1806</v>
      </c>
      <c r="D60" s="1308" t="s">
        <v>358</v>
      </c>
      <c r="E60" s="1308" t="s">
        <v>1754</v>
      </c>
      <c r="F60" s="1315">
        <v>975399.09</v>
      </c>
      <c r="G60" s="1316">
        <f t="shared" si="0"/>
        <v>341389.68149999995</v>
      </c>
      <c r="H60" s="1315">
        <v>74130.330839999995</v>
      </c>
      <c r="I60" s="1316">
        <f t="shared" si="1"/>
        <v>-25945.615793999998</v>
      </c>
      <c r="J60" s="1316">
        <f t="shared" si="8"/>
        <v>389574.39654599997</v>
      </c>
      <c r="K60" s="1317"/>
      <c r="L60" s="1315">
        <v>975399.09</v>
      </c>
      <c r="M60" s="1316">
        <f t="shared" si="2"/>
        <v>204833.80889999997</v>
      </c>
      <c r="N60" s="1315">
        <v>74130.330839999995</v>
      </c>
      <c r="O60" s="1316">
        <f t="shared" si="3"/>
        <v>-15567.369476399999</v>
      </c>
      <c r="P60" s="1316">
        <f t="shared" si="4"/>
        <v>263396.77026359993</v>
      </c>
      <c r="Q60" s="1318"/>
      <c r="R60" s="1316">
        <f t="shared" si="5"/>
        <v>126177.62628240004</v>
      </c>
      <c r="S60" s="1317"/>
      <c r="T60" s="1315">
        <v>0</v>
      </c>
      <c r="U60" s="1317"/>
      <c r="V60" s="1315">
        <v>0</v>
      </c>
      <c r="W60" s="1317"/>
      <c r="X60" s="1316">
        <f t="shared" si="6"/>
        <v>126177.62628240004</v>
      </c>
      <c r="Y60" s="1311"/>
      <c r="Z60" s="1312" t="s">
        <v>1776</v>
      </c>
      <c r="AA60" s="1313"/>
      <c r="AB60" s="1312" t="s">
        <v>37</v>
      </c>
      <c r="AC60" s="1313"/>
      <c r="AD60" s="1820">
        <v>0</v>
      </c>
      <c r="AE60" s="1313"/>
      <c r="AF60" s="1316">
        <f t="shared" si="7"/>
        <v>0</v>
      </c>
      <c r="AG60" s="1313"/>
      <c r="AH60" s="1307">
        <v>190</v>
      </c>
      <c r="AI60" s="1307"/>
    </row>
    <row r="61" spans="2:35" ht="14.5">
      <c r="B61" s="1307">
        <v>50</v>
      </c>
      <c r="C61" s="1308" t="s">
        <v>1807</v>
      </c>
      <c r="D61" s="1308" t="s">
        <v>358</v>
      </c>
      <c r="E61" s="1308" t="s">
        <v>1754</v>
      </c>
      <c r="F61" s="1315">
        <v>2536480.35</v>
      </c>
      <c r="G61" s="1316">
        <f t="shared" si="0"/>
        <v>887768.12249999994</v>
      </c>
      <c r="H61" s="1315">
        <v>192772.50659999999</v>
      </c>
      <c r="I61" s="1316">
        <f t="shared" si="1"/>
        <v>-67470.377309999996</v>
      </c>
      <c r="J61" s="1316">
        <f t="shared" si="8"/>
        <v>1013070.25179</v>
      </c>
      <c r="K61" s="1317"/>
      <c r="L61" s="1315">
        <v>2536480.35</v>
      </c>
      <c r="M61" s="1316">
        <f t="shared" si="2"/>
        <v>532660.87349999999</v>
      </c>
      <c r="N61" s="1315">
        <v>192772.50659999999</v>
      </c>
      <c r="O61" s="1316">
        <f t="shared" si="3"/>
        <v>-40482.226385999995</v>
      </c>
      <c r="P61" s="1316">
        <f t="shared" si="4"/>
        <v>684951.15371400001</v>
      </c>
      <c r="Q61" s="1318"/>
      <c r="R61" s="1316">
        <f t="shared" si="5"/>
        <v>328119.09807599999</v>
      </c>
      <c r="S61" s="1317"/>
      <c r="T61" s="1315">
        <v>0</v>
      </c>
      <c r="U61" s="1317"/>
      <c r="V61" s="1315">
        <v>0</v>
      </c>
      <c r="W61" s="1317"/>
      <c r="X61" s="1316">
        <f t="shared" si="6"/>
        <v>328119.09807599999</v>
      </c>
      <c r="Y61" s="1311"/>
      <c r="Z61" s="1312" t="s">
        <v>1776</v>
      </c>
      <c r="AA61" s="1313"/>
      <c r="AB61" s="1312" t="s">
        <v>37</v>
      </c>
      <c r="AC61" s="1313"/>
      <c r="AD61" s="1820">
        <v>0</v>
      </c>
      <c r="AE61" s="1313"/>
      <c r="AF61" s="1316">
        <f t="shared" si="7"/>
        <v>0</v>
      </c>
      <c r="AG61" s="1313"/>
      <c r="AH61" s="1307">
        <v>190</v>
      </c>
      <c r="AI61" s="1307"/>
    </row>
    <row r="62" spans="2:35" ht="14.5">
      <c r="B62" s="1307">
        <v>51</v>
      </c>
      <c r="C62" s="1308" t="s">
        <v>1808</v>
      </c>
      <c r="D62" s="1308" t="s">
        <v>358</v>
      </c>
      <c r="E62" s="1308" t="s">
        <v>1754</v>
      </c>
      <c r="F62" s="1315">
        <v>692632.74</v>
      </c>
      <c r="G62" s="1316">
        <f t="shared" si="0"/>
        <v>242421.45899999997</v>
      </c>
      <c r="H62" s="1315">
        <v>52640.088239999997</v>
      </c>
      <c r="I62" s="1316">
        <f t="shared" si="1"/>
        <v>-18424.030883999996</v>
      </c>
      <c r="J62" s="1316">
        <f t="shared" si="8"/>
        <v>276637.51635599998</v>
      </c>
      <c r="K62" s="1317"/>
      <c r="L62" s="1315">
        <v>692632.74</v>
      </c>
      <c r="M62" s="1316">
        <f t="shared" si="2"/>
        <v>145452.87539999999</v>
      </c>
      <c r="N62" s="1315">
        <v>52640.088239999997</v>
      </c>
      <c r="O62" s="1316">
        <f t="shared" si="3"/>
        <v>-11054.418530399998</v>
      </c>
      <c r="P62" s="1316">
        <f t="shared" si="4"/>
        <v>187038.54510959997</v>
      </c>
      <c r="Q62" s="1318"/>
      <c r="R62" s="1316">
        <f t="shared" si="5"/>
        <v>89598.971246400004</v>
      </c>
      <c r="S62" s="1317"/>
      <c r="T62" s="1315">
        <v>0</v>
      </c>
      <c r="U62" s="1317"/>
      <c r="V62" s="1315">
        <v>0</v>
      </c>
      <c r="W62" s="1317"/>
      <c r="X62" s="1316">
        <f t="shared" si="6"/>
        <v>89598.971246400004</v>
      </c>
      <c r="Y62" s="1311"/>
      <c r="Z62" s="1312" t="s">
        <v>1776</v>
      </c>
      <c r="AA62" s="1313"/>
      <c r="AB62" s="1312" t="s">
        <v>37</v>
      </c>
      <c r="AC62" s="1313"/>
      <c r="AD62" s="1820">
        <v>0</v>
      </c>
      <c r="AE62" s="1313"/>
      <c r="AF62" s="1316">
        <f t="shared" si="7"/>
        <v>0</v>
      </c>
      <c r="AG62" s="1313"/>
      <c r="AH62" s="1307">
        <v>190</v>
      </c>
      <c r="AI62" s="1307"/>
    </row>
    <row r="63" spans="2:35" ht="14.5">
      <c r="B63" s="1307">
        <v>52</v>
      </c>
      <c r="C63" s="1308" t="s">
        <v>1809</v>
      </c>
      <c r="D63" s="1308" t="s">
        <v>358</v>
      </c>
      <c r="E63" s="1308" t="s">
        <v>1754</v>
      </c>
      <c r="F63" s="1315">
        <v>1375837.52</v>
      </c>
      <c r="G63" s="1316">
        <f t="shared" si="0"/>
        <v>481543.13199999998</v>
      </c>
      <c r="H63" s="1315">
        <v>104563.65152</v>
      </c>
      <c r="I63" s="1316">
        <f t="shared" si="1"/>
        <v>-36597.278031999995</v>
      </c>
      <c r="J63" s="1316">
        <f t="shared" si="8"/>
        <v>549509.505488</v>
      </c>
      <c r="K63" s="1317"/>
      <c r="L63" s="1315">
        <v>1375837.52</v>
      </c>
      <c r="M63" s="1316">
        <f t="shared" si="2"/>
        <v>288925.87919999997</v>
      </c>
      <c r="N63" s="1315">
        <v>104563.65152</v>
      </c>
      <c r="O63" s="1316">
        <f t="shared" si="3"/>
        <v>-21958.3668192</v>
      </c>
      <c r="P63" s="1316">
        <f t="shared" si="4"/>
        <v>371531.16390079999</v>
      </c>
      <c r="Q63" s="1318"/>
      <c r="R63" s="1316">
        <f t="shared" si="5"/>
        <v>177978.3415872</v>
      </c>
      <c r="S63" s="1317"/>
      <c r="T63" s="1315">
        <v>0</v>
      </c>
      <c r="U63" s="1317"/>
      <c r="V63" s="1315">
        <v>0</v>
      </c>
      <c r="W63" s="1317"/>
      <c r="X63" s="1316">
        <f t="shared" si="6"/>
        <v>177978.3415872</v>
      </c>
      <c r="Y63" s="1311"/>
      <c r="Z63" s="1312" t="s">
        <v>1756</v>
      </c>
      <c r="AA63" s="1313"/>
      <c r="AB63" s="1312" t="s">
        <v>37</v>
      </c>
      <c r="AC63" s="1313"/>
      <c r="AD63" s="1820">
        <v>0</v>
      </c>
      <c r="AE63" s="1313"/>
      <c r="AF63" s="1316">
        <f t="shared" si="7"/>
        <v>0</v>
      </c>
      <c r="AG63" s="1313"/>
      <c r="AH63" s="1307">
        <v>190</v>
      </c>
      <c r="AI63" s="1307"/>
    </row>
    <row r="64" spans="2:35" ht="14.5">
      <c r="B64" s="1307">
        <v>53</v>
      </c>
      <c r="C64" s="1308" t="s">
        <v>1810</v>
      </c>
      <c r="D64" s="1308" t="s">
        <v>1811</v>
      </c>
      <c r="E64" s="1308" t="s">
        <v>1754</v>
      </c>
      <c r="F64" s="1315">
        <v>0</v>
      </c>
      <c r="G64" s="1316">
        <f t="shared" si="0"/>
        <v>0</v>
      </c>
      <c r="H64" s="1315">
        <v>5307669.8333999999</v>
      </c>
      <c r="I64" s="1316">
        <f t="shared" si="1"/>
        <v>-1857684.4416899998</v>
      </c>
      <c r="J64" s="1316">
        <f t="shared" si="8"/>
        <v>3449985.3917100001</v>
      </c>
      <c r="K64" s="1317"/>
      <c r="L64" s="1315">
        <v>0</v>
      </c>
      <c r="M64" s="1316">
        <f t="shared" si="2"/>
        <v>0</v>
      </c>
      <c r="N64" s="1315">
        <v>5307669.8333999999</v>
      </c>
      <c r="O64" s="1316">
        <f t="shared" si="3"/>
        <v>-1114610.6650139999</v>
      </c>
      <c r="P64" s="1316">
        <f t="shared" si="4"/>
        <v>4193059.1683860002</v>
      </c>
      <c r="Q64" s="1318"/>
      <c r="R64" s="1316">
        <f t="shared" si="5"/>
        <v>-743073.7766760001</v>
      </c>
      <c r="S64" s="1317"/>
      <c r="T64" s="1315">
        <v>0</v>
      </c>
      <c r="U64" s="1317"/>
      <c r="V64" s="1315">
        <v>0</v>
      </c>
      <c r="W64" s="1317"/>
      <c r="X64" s="1316">
        <f t="shared" si="6"/>
        <v>-743073.7766760001</v>
      </c>
      <c r="Y64" s="1311"/>
      <c r="Z64" s="1312" t="s">
        <v>1801</v>
      </c>
      <c r="AA64" s="1313"/>
      <c r="AB64" s="1312" t="s">
        <v>36</v>
      </c>
      <c r="AC64" s="1313"/>
      <c r="AD64" s="1820">
        <v>0.17320000000000002</v>
      </c>
      <c r="AE64" s="1313"/>
      <c r="AF64" s="1316">
        <f t="shared" si="7"/>
        <v>-128700.37812028323</v>
      </c>
      <c r="AG64" s="1313"/>
      <c r="AH64" s="1307">
        <v>190</v>
      </c>
      <c r="AI64" s="1307"/>
    </row>
    <row r="65" spans="2:35" ht="14.5">
      <c r="B65" s="1307">
        <v>54</v>
      </c>
      <c r="C65" s="1308" t="s">
        <v>1812</v>
      </c>
      <c r="D65" s="1308" t="s">
        <v>1811</v>
      </c>
      <c r="E65" s="1308" t="s">
        <v>1754</v>
      </c>
      <c r="F65" s="1315">
        <v>0</v>
      </c>
      <c r="G65" s="1316">
        <f t="shared" si="0"/>
        <v>0</v>
      </c>
      <c r="H65" s="1315">
        <v>9626335.2781020999</v>
      </c>
      <c r="I65" s="1316">
        <f t="shared" si="1"/>
        <v>-3369217.3473357349</v>
      </c>
      <c r="J65" s="1316">
        <f t="shared" si="8"/>
        <v>6257117.9307663646</v>
      </c>
      <c r="K65" s="1317"/>
      <c r="L65" s="1315">
        <v>0</v>
      </c>
      <c r="M65" s="1316">
        <f t="shared" si="2"/>
        <v>0</v>
      </c>
      <c r="N65" s="1315">
        <v>9626335.2781020999</v>
      </c>
      <c r="O65" s="1316">
        <f t="shared" si="3"/>
        <v>-2021530.4084014408</v>
      </c>
      <c r="P65" s="1316">
        <f t="shared" si="4"/>
        <v>7604804.8697006591</v>
      </c>
      <c r="Q65" s="1318"/>
      <c r="R65" s="1316">
        <f t="shared" si="5"/>
        <v>-1347686.9389342945</v>
      </c>
      <c r="S65" s="1317"/>
      <c r="T65" s="1315">
        <v>0</v>
      </c>
      <c r="U65" s="1317"/>
      <c r="V65" s="1315">
        <v>0</v>
      </c>
      <c r="W65" s="1317"/>
      <c r="X65" s="1316">
        <f t="shared" si="6"/>
        <v>-1347686.9389342945</v>
      </c>
      <c r="Y65" s="1311"/>
      <c r="Z65" s="1312" t="s">
        <v>1801</v>
      </c>
      <c r="AA65" s="1313"/>
      <c r="AB65" s="1312" t="s">
        <v>36</v>
      </c>
      <c r="AC65" s="1313"/>
      <c r="AD65" s="1820">
        <v>0.17320000000000002</v>
      </c>
      <c r="AE65" s="1313"/>
      <c r="AF65" s="1316">
        <f t="shared" si="7"/>
        <v>-233419.37782341984</v>
      </c>
      <c r="AG65" s="1313"/>
      <c r="AH65" s="1307">
        <v>190</v>
      </c>
      <c r="AI65" s="1307"/>
    </row>
    <row r="66" spans="2:35" ht="14.5">
      <c r="B66" s="1307">
        <v>55</v>
      </c>
      <c r="C66" s="1308" t="s">
        <v>1813</v>
      </c>
      <c r="D66" s="1308" t="s">
        <v>1814</v>
      </c>
      <c r="E66" s="1308" t="s">
        <v>1679</v>
      </c>
      <c r="F66" s="1315">
        <v>39488432.923260882</v>
      </c>
      <c r="G66" s="1316">
        <f t="shared" si="0"/>
        <v>13820951.523141308</v>
      </c>
      <c r="H66" s="1315">
        <v>0</v>
      </c>
      <c r="I66" s="1316">
        <f t="shared" si="1"/>
        <v>0</v>
      </c>
      <c r="J66" s="1316">
        <f t="shared" si="8"/>
        <v>13820951.523141308</v>
      </c>
      <c r="K66" s="1317"/>
      <c r="L66" s="1315">
        <v>39488432.923260882</v>
      </c>
      <c r="M66" s="1316">
        <f t="shared" si="2"/>
        <v>8292570.913884785</v>
      </c>
      <c r="N66" s="1315">
        <v>0</v>
      </c>
      <c r="O66" s="1316">
        <f t="shared" si="3"/>
        <v>0</v>
      </c>
      <c r="P66" s="1316">
        <f t="shared" si="4"/>
        <v>8292570.913884785</v>
      </c>
      <c r="Q66" s="1318"/>
      <c r="R66" s="1316">
        <f t="shared" si="5"/>
        <v>5528380.6092565227</v>
      </c>
      <c r="S66" s="1317"/>
      <c r="T66" s="1315">
        <v>0</v>
      </c>
      <c r="U66" s="1317"/>
      <c r="V66" s="1315">
        <v>0</v>
      </c>
      <c r="W66" s="1317"/>
      <c r="X66" s="1316">
        <f t="shared" si="6"/>
        <v>5528380.6092565227</v>
      </c>
      <c r="Y66" s="1311"/>
      <c r="Z66" s="1312" t="s">
        <v>1801</v>
      </c>
      <c r="AA66" s="1313"/>
      <c r="AB66" s="1312" t="s">
        <v>36</v>
      </c>
      <c r="AC66" s="1313"/>
      <c r="AD66" s="1820">
        <v>0.17320000000000002</v>
      </c>
      <c r="AE66" s="1313"/>
      <c r="AF66" s="1316">
        <f t="shared" si="7"/>
        <v>957515.52152322989</v>
      </c>
      <c r="AG66" s="1313"/>
      <c r="AH66" s="1307">
        <v>190</v>
      </c>
      <c r="AI66" s="1307"/>
    </row>
    <row r="67" spans="2:35" ht="14.5">
      <c r="B67" s="1307">
        <v>56</v>
      </c>
      <c r="C67" s="1308" t="s">
        <v>1815</v>
      </c>
      <c r="D67" s="1308" t="s">
        <v>359</v>
      </c>
      <c r="E67" s="1308" t="s">
        <v>1679</v>
      </c>
      <c r="F67" s="1315">
        <v>1934714</v>
      </c>
      <c r="G67" s="1316">
        <f t="shared" si="0"/>
        <v>677149.89999999991</v>
      </c>
      <c r="H67" s="1315">
        <v>147038.264</v>
      </c>
      <c r="I67" s="1316">
        <f t="shared" si="1"/>
        <v>-51463.392399999997</v>
      </c>
      <c r="J67" s="1316">
        <f t="shared" si="8"/>
        <v>772724.77159999986</v>
      </c>
      <c r="K67" s="1317"/>
      <c r="L67" s="1315">
        <v>1934714</v>
      </c>
      <c r="M67" s="1316">
        <f t="shared" si="2"/>
        <v>406289.94</v>
      </c>
      <c r="N67" s="1315">
        <v>147038.264</v>
      </c>
      <c r="O67" s="1316">
        <f t="shared" si="3"/>
        <v>-30878.03544</v>
      </c>
      <c r="P67" s="1316">
        <f t="shared" si="4"/>
        <v>522450.16856000002</v>
      </c>
      <c r="Q67" s="1318"/>
      <c r="R67" s="1316">
        <f t="shared" si="5"/>
        <v>250274.60303999984</v>
      </c>
      <c r="S67" s="1317"/>
      <c r="T67" s="1315">
        <v>0</v>
      </c>
      <c r="U67" s="1317"/>
      <c r="V67" s="1315">
        <v>0</v>
      </c>
      <c r="W67" s="1317"/>
      <c r="X67" s="1316">
        <f t="shared" si="6"/>
        <v>250274.60303999984</v>
      </c>
      <c r="Y67" s="1311"/>
      <c r="Z67" s="1312" t="s">
        <v>1801</v>
      </c>
      <c r="AA67" s="1313"/>
      <c r="AB67" s="1312" t="s">
        <v>36</v>
      </c>
      <c r="AC67" s="1313"/>
      <c r="AD67" s="1820">
        <v>0.17320000000000002</v>
      </c>
      <c r="AE67" s="1313"/>
      <c r="AF67" s="1316">
        <f t="shared" si="7"/>
        <v>43347.561246527977</v>
      </c>
      <c r="AG67" s="1313"/>
      <c r="AH67" s="1307">
        <v>190</v>
      </c>
      <c r="AI67" s="1307"/>
    </row>
    <row r="68" spans="2:35" ht="14.5">
      <c r="B68" s="1307">
        <v>57</v>
      </c>
      <c r="C68" s="1308" t="s">
        <v>1816</v>
      </c>
      <c r="D68" s="1308" t="s">
        <v>1817</v>
      </c>
      <c r="E68" s="1308" t="s">
        <v>1818</v>
      </c>
      <c r="F68" s="1315">
        <v>-18162734</v>
      </c>
      <c r="G68" s="1316">
        <f t="shared" si="0"/>
        <v>-6356956.8999999994</v>
      </c>
      <c r="H68" s="1315">
        <v>-1380367.784</v>
      </c>
      <c r="I68" s="1316">
        <f t="shared" si="1"/>
        <v>483128.72439999995</v>
      </c>
      <c r="J68" s="1316">
        <f t="shared" si="8"/>
        <v>-7254195.9595999997</v>
      </c>
      <c r="K68" s="1317"/>
      <c r="L68" s="1315">
        <v>-18162734</v>
      </c>
      <c r="M68" s="1316">
        <f t="shared" si="2"/>
        <v>-3814174.1399999997</v>
      </c>
      <c r="N68" s="1315">
        <v>-1380367.784</v>
      </c>
      <c r="O68" s="1316">
        <f t="shared" si="3"/>
        <v>289877.23463999998</v>
      </c>
      <c r="P68" s="1316">
        <f t="shared" si="4"/>
        <v>-4904664.6893599993</v>
      </c>
      <c r="Q68" s="1318"/>
      <c r="R68" s="1316">
        <f t="shared" si="5"/>
        <v>-2349531.2702400004</v>
      </c>
      <c r="S68" s="1317"/>
      <c r="T68" s="1315">
        <v>0</v>
      </c>
      <c r="U68" s="1317"/>
      <c r="V68" s="1315">
        <v>-2349531.2702399995</v>
      </c>
      <c r="W68" s="1317"/>
      <c r="X68" s="1316">
        <f t="shared" si="6"/>
        <v>0</v>
      </c>
      <c r="Y68" s="1311"/>
      <c r="Z68" s="1312" t="s">
        <v>1818</v>
      </c>
      <c r="AA68" s="1313"/>
      <c r="AB68" s="1312" t="s">
        <v>37</v>
      </c>
      <c r="AC68" s="1313"/>
      <c r="AD68" s="1820">
        <v>0</v>
      </c>
      <c r="AE68" s="1313"/>
      <c r="AF68" s="1316">
        <f t="shared" si="7"/>
        <v>0</v>
      </c>
      <c r="AG68" s="1313"/>
      <c r="AH68" s="1307">
        <v>190</v>
      </c>
      <c r="AI68" s="1307"/>
    </row>
    <row r="69" spans="2:35" ht="14.5">
      <c r="B69" s="1307">
        <v>58</v>
      </c>
      <c r="C69" s="1308" t="s">
        <v>1819</v>
      </c>
      <c r="D69" s="1308" t="s">
        <v>1817</v>
      </c>
      <c r="E69" s="1308" t="s">
        <v>1818</v>
      </c>
      <c r="F69" s="1315">
        <v>-156526747.84999999</v>
      </c>
      <c r="G69" s="1316">
        <f t="shared" si="0"/>
        <v>-54784361.747499995</v>
      </c>
      <c r="H69" s="1315">
        <v>-11896032.8366</v>
      </c>
      <c r="I69" s="1316">
        <f t="shared" si="1"/>
        <v>4163611.4928099997</v>
      </c>
      <c r="J69" s="1316">
        <f t="shared" si="8"/>
        <v>-62516783.091289997</v>
      </c>
      <c r="K69" s="1317"/>
      <c r="L69" s="1315">
        <v>-156526747.84999999</v>
      </c>
      <c r="M69" s="1316">
        <f t="shared" si="2"/>
        <v>-32870617.048499998</v>
      </c>
      <c r="N69" s="1315">
        <v>-11896032.8366</v>
      </c>
      <c r="O69" s="1316">
        <f t="shared" si="3"/>
        <v>2498166.8956860001</v>
      </c>
      <c r="P69" s="1316">
        <f t="shared" si="4"/>
        <v>-42268482.989413999</v>
      </c>
      <c r="Q69" s="1318"/>
      <c r="R69" s="1316">
        <f t="shared" si="5"/>
        <v>-20248300.101875998</v>
      </c>
      <c r="S69" s="1317"/>
      <c r="T69" s="1315">
        <v>0</v>
      </c>
      <c r="U69" s="1317"/>
      <c r="V69" s="1315">
        <v>-20248300.101875991</v>
      </c>
      <c r="W69" s="1317"/>
      <c r="X69" s="1316">
        <f t="shared" si="6"/>
        <v>0</v>
      </c>
      <c r="Y69" s="1311"/>
      <c r="Z69" s="1312" t="s">
        <v>1818</v>
      </c>
      <c r="AA69" s="1313"/>
      <c r="AB69" s="1312" t="s">
        <v>37</v>
      </c>
      <c r="AC69" s="1313"/>
      <c r="AD69" s="1820">
        <v>0</v>
      </c>
      <c r="AE69" s="1313"/>
      <c r="AF69" s="1316">
        <f t="shared" si="7"/>
        <v>0</v>
      </c>
      <c r="AG69" s="1313"/>
      <c r="AH69" s="1307">
        <v>190</v>
      </c>
      <c r="AI69" s="1307"/>
    </row>
    <row r="70" spans="2:35" ht="14.5">
      <c r="B70" s="1307">
        <v>59</v>
      </c>
      <c r="C70" s="1308" t="s">
        <v>1820</v>
      </c>
      <c r="D70" s="1308" t="s">
        <v>1817</v>
      </c>
      <c r="E70" s="1308" t="s">
        <v>1818</v>
      </c>
      <c r="F70" s="1315">
        <v>1286587</v>
      </c>
      <c r="G70" s="1316">
        <f t="shared" si="0"/>
        <v>450305.44999999995</v>
      </c>
      <c r="H70" s="1315">
        <v>97780.611999999994</v>
      </c>
      <c r="I70" s="1316">
        <f t="shared" si="1"/>
        <v>-34223.214199999995</v>
      </c>
      <c r="J70" s="1316">
        <f t="shared" si="8"/>
        <v>513862.84779999993</v>
      </c>
      <c r="K70" s="1317"/>
      <c r="L70" s="1315">
        <v>1286587</v>
      </c>
      <c r="M70" s="1316">
        <f t="shared" si="2"/>
        <v>270183.27</v>
      </c>
      <c r="N70" s="1315">
        <v>97780.611999999994</v>
      </c>
      <c r="O70" s="1316">
        <f t="shared" si="3"/>
        <v>-20533.928519999998</v>
      </c>
      <c r="P70" s="1316">
        <f t="shared" si="4"/>
        <v>347429.95347999997</v>
      </c>
      <c r="Q70" s="1318"/>
      <c r="R70" s="1316">
        <f t="shared" si="5"/>
        <v>166432.89431999996</v>
      </c>
      <c r="S70" s="1317"/>
      <c r="T70" s="1315">
        <v>0</v>
      </c>
      <c r="U70" s="1317"/>
      <c r="V70" s="1315">
        <v>166432.89431999996</v>
      </c>
      <c r="W70" s="1317"/>
      <c r="X70" s="1316">
        <f t="shared" si="6"/>
        <v>0</v>
      </c>
      <c r="Y70" s="1311"/>
      <c r="Z70" s="1312" t="s">
        <v>1818</v>
      </c>
      <c r="AA70" s="1313"/>
      <c r="AB70" s="1312" t="s">
        <v>37</v>
      </c>
      <c r="AC70" s="1313"/>
      <c r="AD70" s="1820">
        <v>0</v>
      </c>
      <c r="AE70" s="1313"/>
      <c r="AF70" s="1316">
        <f t="shared" si="7"/>
        <v>0</v>
      </c>
      <c r="AG70" s="1313"/>
      <c r="AH70" s="1307">
        <v>190</v>
      </c>
      <c r="AI70" s="1307"/>
    </row>
    <row r="71" spans="2:35" ht="14.5">
      <c r="B71" s="1307">
        <v>60</v>
      </c>
      <c r="C71" s="1308" t="s">
        <v>1820</v>
      </c>
      <c r="D71" s="1308" t="s">
        <v>1821</v>
      </c>
      <c r="E71" s="1308" t="s">
        <v>1818</v>
      </c>
      <c r="F71" s="1315">
        <v>0</v>
      </c>
      <c r="G71" s="1316">
        <f t="shared" si="0"/>
        <v>0</v>
      </c>
      <c r="H71" s="1315">
        <v>0</v>
      </c>
      <c r="I71" s="1316">
        <f t="shared" si="1"/>
        <v>0</v>
      </c>
      <c r="J71" s="1316">
        <f t="shared" si="8"/>
        <v>0</v>
      </c>
      <c r="K71" s="1317"/>
      <c r="L71" s="1315">
        <v>973762349.54984736</v>
      </c>
      <c r="M71" s="1316">
        <f t="shared" si="2"/>
        <v>204490093.40546793</v>
      </c>
      <c r="N71" s="1315">
        <v>74005938.565788403</v>
      </c>
      <c r="O71" s="1316">
        <f t="shared" si="3"/>
        <v>-15541247.098815564</v>
      </c>
      <c r="P71" s="1316">
        <f t="shared" si="4"/>
        <v>262954784.87244076</v>
      </c>
      <c r="Q71" s="1318"/>
      <c r="R71" s="1316">
        <f t="shared" si="5"/>
        <v>-262954784.87244076</v>
      </c>
      <c r="S71" s="1317"/>
      <c r="T71" s="1315">
        <v>0</v>
      </c>
      <c r="U71" s="1317"/>
      <c r="V71" s="1315">
        <v>-262954784.87244076</v>
      </c>
      <c r="W71" s="1317"/>
      <c r="X71" s="1316">
        <f t="shared" si="6"/>
        <v>0</v>
      </c>
      <c r="Y71" s="1311"/>
      <c r="Z71" s="1312" t="s">
        <v>1818</v>
      </c>
      <c r="AA71" s="1313"/>
      <c r="AB71" s="1312" t="s">
        <v>37</v>
      </c>
      <c r="AC71" s="1313"/>
      <c r="AD71" s="1820">
        <v>0</v>
      </c>
      <c r="AE71" s="1313"/>
      <c r="AF71" s="1316">
        <f t="shared" si="7"/>
        <v>0</v>
      </c>
      <c r="AG71" s="1313"/>
      <c r="AH71" s="1307">
        <v>190</v>
      </c>
      <c r="AI71" s="1307"/>
    </row>
    <row r="72" spans="2:35" ht="14.5">
      <c r="B72" s="1307">
        <v>61</v>
      </c>
      <c r="C72" s="1319" t="s">
        <v>1822</v>
      </c>
      <c r="D72" s="1312"/>
      <c r="E72" s="1312"/>
      <c r="F72" s="1320">
        <f>SUM(F12:F71)</f>
        <v>304399168.34326088</v>
      </c>
      <c r="G72" s="1320">
        <f>SUM(G12:G71)</f>
        <v>106539708.92014121</v>
      </c>
      <c r="H72" s="1320">
        <f>SUM(H12:H71)</f>
        <v>38589437.800422087</v>
      </c>
      <c r="I72" s="1320">
        <f>SUM(I12:I71)</f>
        <v>-13506303.230147729</v>
      </c>
      <c r="J72" s="1320">
        <f>SUM(J12:J71)</f>
        <v>131622843.49041565</v>
      </c>
      <c r="K72" s="1311"/>
      <c r="L72" s="1320">
        <f>SUM(L12:L71)</f>
        <v>1278161517.8931084</v>
      </c>
      <c r="M72" s="1320">
        <f>SUM(M12:M71)</f>
        <v>268413918.75755274</v>
      </c>
      <c r="N72" s="1320">
        <f>SUM(N12:N71)</f>
        <v>112595376.36621049</v>
      </c>
      <c r="O72" s="1320">
        <f>SUM(O12:O71)</f>
        <v>-23645029.036904205</v>
      </c>
      <c r="P72" s="1320">
        <f>SUM(P12:P71)</f>
        <v>357364266.08685899</v>
      </c>
      <c r="R72" s="1320">
        <f>SUM(R12:R71)</f>
        <v>-225741422.5964433</v>
      </c>
      <c r="S72" s="1311"/>
      <c r="T72" s="1320">
        <f>SUM(T12:T71)</f>
        <v>8458293.1418080255</v>
      </c>
      <c r="U72" s="1311"/>
      <c r="V72" s="1320">
        <f>SUM(V12:V71)</f>
        <v>-285386183.35023677</v>
      </c>
      <c r="W72" s="1311"/>
      <c r="X72" s="1320">
        <f>SUM(X12:X71)</f>
        <v>51186467.611985415</v>
      </c>
      <c r="Y72" s="1311"/>
      <c r="Z72" s="1312"/>
      <c r="AA72" s="1313"/>
      <c r="AB72" s="1312"/>
      <c r="AC72" s="1313"/>
      <c r="AD72" s="1314"/>
      <c r="AE72" s="1313"/>
      <c r="AF72" s="1320">
        <f>SUM(AF12:AF71)</f>
        <v>2291935.4140873626</v>
      </c>
      <c r="AG72" s="1313"/>
      <c r="AH72" s="1307"/>
      <c r="AI72" s="1307"/>
    </row>
    <row r="73" spans="2:35" ht="14.5">
      <c r="B73" s="1312"/>
      <c r="C73" s="1312"/>
      <c r="D73" s="1312"/>
      <c r="E73" s="1312"/>
      <c r="F73" s="1310"/>
      <c r="G73" s="1310"/>
      <c r="H73" s="1310"/>
      <c r="I73" s="1310"/>
      <c r="J73" s="1310"/>
      <c r="K73" s="1311"/>
      <c r="L73" s="1310"/>
      <c r="M73" s="1310"/>
      <c r="N73" s="1310"/>
      <c r="O73" s="1310"/>
      <c r="P73" s="1310"/>
      <c r="R73" s="1310"/>
      <c r="S73" s="1311"/>
      <c r="T73" s="1310"/>
      <c r="U73" s="1311"/>
      <c r="V73" s="1310"/>
      <c r="W73" s="1311"/>
      <c r="X73" s="1310"/>
      <c r="Y73" s="1311"/>
      <c r="Z73" s="1312"/>
      <c r="AA73" s="1313"/>
      <c r="AB73" s="1312"/>
      <c r="AC73" s="1313"/>
      <c r="AD73" s="1314"/>
      <c r="AE73" s="1313"/>
      <c r="AF73" s="1310"/>
      <c r="AG73" s="1313"/>
      <c r="AH73" s="1307"/>
      <c r="AI73" s="1307"/>
    </row>
    <row r="74" spans="2:35" ht="14.5">
      <c r="B74" s="1312"/>
      <c r="C74" s="1312"/>
      <c r="D74" s="1312"/>
      <c r="E74" s="1312"/>
      <c r="F74" s="1310"/>
      <c r="G74" s="1310"/>
      <c r="H74" s="1310"/>
      <c r="I74" s="1310"/>
      <c r="J74" s="1310"/>
      <c r="K74" s="1311"/>
      <c r="L74" s="1310"/>
      <c r="M74" s="1310"/>
      <c r="N74" s="1310"/>
      <c r="O74" s="1310"/>
      <c r="P74" s="1310"/>
      <c r="R74" s="1310"/>
      <c r="S74" s="1311"/>
      <c r="T74" s="1310"/>
      <c r="U74" s="1311"/>
      <c r="V74" s="1310"/>
      <c r="W74" s="1311"/>
      <c r="X74" s="1310"/>
      <c r="Y74" s="1311"/>
      <c r="Z74" s="1312"/>
      <c r="AA74" s="1313"/>
      <c r="AB74" s="1312"/>
      <c r="AC74" s="1313"/>
      <c r="AD74" s="1314"/>
      <c r="AE74" s="1313"/>
      <c r="AF74" s="1310"/>
      <c r="AG74" s="1313"/>
      <c r="AH74" s="1307"/>
      <c r="AI74" s="1307"/>
    </row>
    <row r="75" spans="2:35" ht="14.5">
      <c r="B75" s="1312"/>
      <c r="C75" s="1306" t="s">
        <v>1823</v>
      </c>
      <c r="D75" s="1312"/>
      <c r="E75" s="1312"/>
      <c r="F75" s="1310"/>
      <c r="G75" s="1310"/>
      <c r="H75" s="1310"/>
      <c r="I75" s="1310"/>
      <c r="J75" s="1310"/>
      <c r="K75" s="1311"/>
      <c r="L75" s="1310"/>
      <c r="M75" s="1310"/>
      <c r="N75" s="1310"/>
      <c r="O75" s="1310"/>
      <c r="P75" s="1310"/>
      <c r="R75" s="1310"/>
      <c r="S75" s="1311"/>
      <c r="T75" s="1310"/>
      <c r="U75" s="1311"/>
      <c r="V75" s="1310"/>
      <c r="W75" s="1311"/>
      <c r="X75" s="1310"/>
      <c r="Y75" s="1311"/>
      <c r="Z75" s="1312"/>
      <c r="AA75" s="1313"/>
      <c r="AB75" s="1312"/>
      <c r="AC75" s="1313"/>
      <c r="AD75" s="1314"/>
      <c r="AE75" s="1313"/>
      <c r="AF75" s="1310"/>
      <c r="AG75" s="1313"/>
      <c r="AH75" s="1307"/>
      <c r="AI75" s="1307"/>
    </row>
    <row r="76" spans="2:35" ht="14.5">
      <c r="B76" s="1307">
        <v>62</v>
      </c>
      <c r="C76" s="1308" t="s">
        <v>1824</v>
      </c>
      <c r="D76" s="1308" t="s">
        <v>1825</v>
      </c>
      <c r="E76" s="1308" t="s">
        <v>1679</v>
      </c>
      <c r="F76" s="1309">
        <v>-2311845643.1799998</v>
      </c>
      <c r="G76" s="1310">
        <f t="shared" ref="G76:G91" si="9">F76*0.35</f>
        <v>-809145975.11299992</v>
      </c>
      <c r="H76" s="1309">
        <v>0</v>
      </c>
      <c r="I76" s="1310">
        <f t="shared" ref="I76:I91" si="10">-H76*0.35</f>
        <v>0</v>
      </c>
      <c r="J76" s="1310">
        <f t="shared" ref="J76:J91" si="11">G76+H76+I76</f>
        <v>-809145975.11299992</v>
      </c>
      <c r="K76" s="1311"/>
      <c r="L76" s="1309">
        <v>-2311845643.1799998</v>
      </c>
      <c r="M76" s="1310">
        <f t="shared" ref="M76:M91" si="12">L76*0.21</f>
        <v>-485487585.06779993</v>
      </c>
      <c r="N76" s="1309">
        <v>0</v>
      </c>
      <c r="O76" s="1310">
        <f t="shared" ref="O76:O91" si="13">-N76*0.21</f>
        <v>0</v>
      </c>
      <c r="P76" s="1310">
        <f t="shared" ref="P76:P91" si="14">M76+N76+O76</f>
        <v>-485487585.06779993</v>
      </c>
      <c r="R76" s="1310">
        <f t="shared" ref="R76:R91" si="15">J76-P76</f>
        <v>-323658390.04519999</v>
      </c>
      <c r="S76" s="1311"/>
      <c r="T76" s="1309">
        <v>0</v>
      </c>
      <c r="U76" s="1311"/>
      <c r="V76" s="1309">
        <v>0</v>
      </c>
      <c r="W76" s="1311"/>
      <c r="X76" s="1310">
        <f t="shared" ref="X76:X91" si="16">R76-T76-V76</f>
        <v>-323658390.04519999</v>
      </c>
      <c r="Y76" s="1311"/>
      <c r="Z76" s="1312" t="s">
        <v>1801</v>
      </c>
      <c r="AA76" s="1313"/>
      <c r="AB76" s="1312" t="s">
        <v>36</v>
      </c>
      <c r="AC76" s="1313"/>
      <c r="AD76" s="1820">
        <v>0.17320000000000002</v>
      </c>
      <c r="AE76" s="1313"/>
      <c r="AF76" s="1310">
        <f t="shared" ref="AF76:AF91" si="17">X76*AD76</f>
        <v>-56057633.155828647</v>
      </c>
      <c r="AG76" s="1313"/>
      <c r="AH76" s="1307">
        <v>282</v>
      </c>
      <c r="AI76" s="1307"/>
    </row>
    <row r="77" spans="2:35" ht="14.5">
      <c r="B77" s="1307">
        <v>63</v>
      </c>
      <c r="C77" s="1308" t="s">
        <v>1826</v>
      </c>
      <c r="D77" s="1308" t="s">
        <v>1827</v>
      </c>
      <c r="E77" s="1308" t="s">
        <v>1677</v>
      </c>
      <c r="F77" s="1315">
        <v>-2111838818.1799998</v>
      </c>
      <c r="G77" s="1316">
        <f t="shared" si="9"/>
        <v>-739143586.36299992</v>
      </c>
      <c r="H77" s="1315">
        <v>0</v>
      </c>
      <c r="I77" s="1316">
        <f t="shared" si="10"/>
        <v>0</v>
      </c>
      <c r="J77" s="1316">
        <f t="shared" si="11"/>
        <v>-739143586.36299992</v>
      </c>
      <c r="K77" s="1317"/>
      <c r="L77" s="1315">
        <v>-2111838818.1799998</v>
      </c>
      <c r="M77" s="1316">
        <f t="shared" si="12"/>
        <v>-443486151.81779993</v>
      </c>
      <c r="N77" s="1315">
        <v>0</v>
      </c>
      <c r="O77" s="1316">
        <f t="shared" si="13"/>
        <v>0</v>
      </c>
      <c r="P77" s="1316">
        <f t="shared" si="14"/>
        <v>-443486151.81779993</v>
      </c>
      <c r="Q77" s="1318"/>
      <c r="R77" s="1316">
        <f t="shared" si="15"/>
        <v>-295657434.54519999</v>
      </c>
      <c r="S77" s="1317"/>
      <c r="T77" s="1315">
        <v>0</v>
      </c>
      <c r="U77" s="1317"/>
      <c r="V77" s="1315">
        <v>0</v>
      </c>
      <c r="W77" s="1317"/>
      <c r="X77" s="1316">
        <f t="shared" si="16"/>
        <v>-295657434.54519999</v>
      </c>
      <c r="Y77" s="1311"/>
      <c r="Z77" s="1312" t="s">
        <v>1801</v>
      </c>
      <c r="AA77" s="1313"/>
      <c r="AB77" s="1312" t="s">
        <v>36</v>
      </c>
      <c r="AC77" s="1313"/>
      <c r="AD77" s="1820">
        <v>0.17320000000000002</v>
      </c>
      <c r="AE77" s="1313"/>
      <c r="AF77" s="1316">
        <f t="shared" si="17"/>
        <v>-51207867.663228646</v>
      </c>
      <c r="AG77" s="1313"/>
      <c r="AH77" s="1307">
        <v>282</v>
      </c>
      <c r="AI77" s="1307"/>
    </row>
    <row r="78" spans="2:35" ht="14.5">
      <c r="B78" s="1307">
        <v>64</v>
      </c>
      <c r="C78" s="1308" t="s">
        <v>1828</v>
      </c>
      <c r="D78" s="1308" t="s">
        <v>1827</v>
      </c>
      <c r="E78" s="1308" t="s">
        <v>1677</v>
      </c>
      <c r="F78" s="1315">
        <v>149683320.25999999</v>
      </c>
      <c r="G78" s="1316">
        <f t="shared" si="9"/>
        <v>52389162.090999991</v>
      </c>
      <c r="H78" s="1315">
        <v>0</v>
      </c>
      <c r="I78" s="1316">
        <f t="shared" si="10"/>
        <v>0</v>
      </c>
      <c r="J78" s="1316">
        <f t="shared" si="11"/>
        <v>52389162.090999991</v>
      </c>
      <c r="K78" s="1317"/>
      <c r="L78" s="1315">
        <v>149683320.25999999</v>
      </c>
      <c r="M78" s="1316">
        <f t="shared" si="12"/>
        <v>31433497.254599996</v>
      </c>
      <c r="N78" s="1315">
        <v>0</v>
      </c>
      <c r="O78" s="1316">
        <f t="shared" si="13"/>
        <v>0</v>
      </c>
      <c r="P78" s="1316">
        <f t="shared" si="14"/>
        <v>31433497.254599996</v>
      </c>
      <c r="Q78" s="1318"/>
      <c r="R78" s="1316">
        <f t="shared" si="15"/>
        <v>20955664.836399995</v>
      </c>
      <c r="S78" s="1317"/>
      <c r="T78" s="1315">
        <v>0</v>
      </c>
      <c r="U78" s="1317"/>
      <c r="V78" s="1315">
        <v>0</v>
      </c>
      <c r="W78" s="1317"/>
      <c r="X78" s="1316">
        <f t="shared" si="16"/>
        <v>20955664.836399995</v>
      </c>
      <c r="Y78" s="1311"/>
      <c r="Z78" s="1312" t="s">
        <v>1801</v>
      </c>
      <c r="AA78" s="1313"/>
      <c r="AB78" s="1312" t="s">
        <v>37</v>
      </c>
      <c r="AC78" s="1313"/>
      <c r="AD78" s="1820">
        <v>0</v>
      </c>
      <c r="AE78" s="1313"/>
      <c r="AF78" s="1316">
        <f t="shared" si="17"/>
        <v>0</v>
      </c>
      <c r="AG78" s="1313"/>
      <c r="AH78" s="1307">
        <v>282</v>
      </c>
      <c r="AI78" s="1307"/>
    </row>
    <row r="79" spans="2:35" ht="14.5">
      <c r="B79" s="1307">
        <v>65</v>
      </c>
      <c r="C79" s="1308" t="s">
        <v>1829</v>
      </c>
      <c r="D79" s="1308" t="s">
        <v>1827</v>
      </c>
      <c r="E79" s="1308" t="s">
        <v>1677</v>
      </c>
      <c r="F79" s="1315">
        <v>-281503159.13999999</v>
      </c>
      <c r="G79" s="1316">
        <f t="shared" si="9"/>
        <v>-98526105.698999986</v>
      </c>
      <c r="H79" s="1315">
        <v>0</v>
      </c>
      <c r="I79" s="1316">
        <f t="shared" si="10"/>
        <v>0</v>
      </c>
      <c r="J79" s="1316">
        <f t="shared" si="11"/>
        <v>-98526105.698999986</v>
      </c>
      <c r="K79" s="1317"/>
      <c r="L79" s="1315">
        <v>-281503159.13999999</v>
      </c>
      <c r="M79" s="1316">
        <f t="shared" si="12"/>
        <v>-59115663.419399992</v>
      </c>
      <c r="N79" s="1315">
        <v>0</v>
      </c>
      <c r="O79" s="1316">
        <f t="shared" si="13"/>
        <v>0</v>
      </c>
      <c r="P79" s="1316">
        <f t="shared" si="14"/>
        <v>-59115663.419399992</v>
      </c>
      <c r="Q79" s="1318"/>
      <c r="R79" s="1316">
        <f t="shared" si="15"/>
        <v>-39410442.279599994</v>
      </c>
      <c r="S79" s="1317"/>
      <c r="T79" s="1315">
        <v>0</v>
      </c>
      <c r="U79" s="1317"/>
      <c r="V79" s="1315">
        <f>R79</f>
        <v>-39410442.279599994</v>
      </c>
      <c r="W79" s="1317"/>
      <c r="X79" s="1316">
        <f t="shared" si="16"/>
        <v>0</v>
      </c>
      <c r="Y79" s="1311"/>
      <c r="Z79" s="1312" t="s">
        <v>1801</v>
      </c>
      <c r="AA79" s="1313"/>
      <c r="AB79" s="1312" t="s">
        <v>36</v>
      </c>
      <c r="AC79" s="1313"/>
      <c r="AD79" s="1820">
        <v>0.17320000000000002</v>
      </c>
      <c r="AE79" s="1313"/>
      <c r="AF79" s="1316">
        <f t="shared" si="17"/>
        <v>0</v>
      </c>
      <c r="AG79" s="1313"/>
      <c r="AH79" s="1307">
        <v>282</v>
      </c>
      <c r="AI79" s="1307"/>
    </row>
    <row r="80" spans="2:35" ht="14.5">
      <c r="B80" s="1307">
        <v>66</v>
      </c>
      <c r="C80" s="1308" t="s">
        <v>1830</v>
      </c>
      <c r="D80" s="1308" t="s">
        <v>1827</v>
      </c>
      <c r="E80" s="1308" t="s">
        <v>1677</v>
      </c>
      <c r="F80" s="1315">
        <v>0</v>
      </c>
      <c r="G80" s="1316">
        <f t="shared" si="9"/>
        <v>0</v>
      </c>
      <c r="H80" s="1315">
        <v>-112640145.42824998</v>
      </c>
      <c r="I80" s="1316">
        <f t="shared" si="10"/>
        <v>39424050.899887495</v>
      </c>
      <c r="J80" s="1316">
        <f t="shared" si="11"/>
        <v>-73216094.528362483</v>
      </c>
      <c r="K80" s="1317"/>
      <c r="L80" s="1315">
        <v>0</v>
      </c>
      <c r="M80" s="1316">
        <f t="shared" si="12"/>
        <v>0</v>
      </c>
      <c r="N80" s="1315">
        <v>-112640145.42824998</v>
      </c>
      <c r="O80" s="1316">
        <f t="shared" si="13"/>
        <v>23654430.539932497</v>
      </c>
      <c r="P80" s="1316">
        <f t="shared" si="14"/>
        <v>-88985714.888317496</v>
      </c>
      <c r="Q80" s="1318"/>
      <c r="R80" s="1316">
        <f t="shared" si="15"/>
        <v>15769620.359955013</v>
      </c>
      <c r="S80" s="1317"/>
      <c r="T80" s="1315">
        <v>0</v>
      </c>
      <c r="U80" s="1317"/>
      <c r="V80" s="1315">
        <v>0</v>
      </c>
      <c r="W80" s="1317"/>
      <c r="X80" s="1316">
        <f t="shared" si="16"/>
        <v>15769620.359955013</v>
      </c>
      <c r="Y80" s="1311"/>
      <c r="Z80" s="1312" t="s">
        <v>1801</v>
      </c>
      <c r="AA80" s="1313"/>
      <c r="AB80" s="1312" t="s">
        <v>36</v>
      </c>
      <c r="AC80" s="1313"/>
      <c r="AD80" s="1820">
        <v>0.17320000000000002</v>
      </c>
      <c r="AE80" s="1313"/>
      <c r="AF80" s="1316">
        <f t="shared" si="17"/>
        <v>2731298.2463442087</v>
      </c>
      <c r="AG80" s="1313"/>
      <c r="AH80" s="1307">
        <v>282</v>
      </c>
      <c r="AI80" s="1307"/>
    </row>
    <row r="81" spans="2:35" ht="14.5">
      <c r="B81" s="1307">
        <v>67</v>
      </c>
      <c r="C81" s="1308" t="s">
        <v>1831</v>
      </c>
      <c r="D81" s="1308" t="s">
        <v>1827</v>
      </c>
      <c r="E81" s="1308" t="s">
        <v>1677</v>
      </c>
      <c r="F81" s="1315">
        <v>0</v>
      </c>
      <c r="G81" s="1316">
        <f t="shared" si="9"/>
        <v>0</v>
      </c>
      <c r="H81" s="1315">
        <v>8226018.1975499988</v>
      </c>
      <c r="I81" s="1316">
        <f t="shared" si="10"/>
        <v>-2879106.3691424993</v>
      </c>
      <c r="J81" s="1316">
        <f t="shared" si="11"/>
        <v>5346911.8284074999</v>
      </c>
      <c r="K81" s="1317"/>
      <c r="L81" s="1315">
        <v>0</v>
      </c>
      <c r="M81" s="1316">
        <f t="shared" si="12"/>
        <v>0</v>
      </c>
      <c r="N81" s="1315">
        <v>8226018.1975499988</v>
      </c>
      <c r="O81" s="1316">
        <f t="shared" si="13"/>
        <v>-1727463.8214854996</v>
      </c>
      <c r="P81" s="1316">
        <f t="shared" si="14"/>
        <v>6498554.3760644989</v>
      </c>
      <c r="Q81" s="1318"/>
      <c r="R81" s="1316">
        <f t="shared" si="15"/>
        <v>-1151642.547656999</v>
      </c>
      <c r="S81" s="1317"/>
      <c r="T81" s="1315">
        <v>0</v>
      </c>
      <c r="U81" s="1317"/>
      <c r="V81" s="1315">
        <v>0</v>
      </c>
      <c r="W81" s="1317"/>
      <c r="X81" s="1316">
        <f t="shared" si="16"/>
        <v>-1151642.547656999</v>
      </c>
      <c r="Y81" s="1311"/>
      <c r="Z81" s="1312" t="s">
        <v>1801</v>
      </c>
      <c r="AA81" s="1313"/>
      <c r="AB81" s="1312" t="s">
        <v>37</v>
      </c>
      <c r="AC81" s="1313"/>
      <c r="AD81" s="1820">
        <v>0</v>
      </c>
      <c r="AE81" s="1313"/>
      <c r="AF81" s="1316">
        <f t="shared" si="17"/>
        <v>0</v>
      </c>
      <c r="AG81" s="1313"/>
      <c r="AH81" s="1307">
        <v>282</v>
      </c>
      <c r="AI81" s="1307"/>
    </row>
    <row r="82" spans="2:35" ht="14.5">
      <c r="B82" s="1307">
        <v>68</v>
      </c>
      <c r="C82" s="1308" t="s">
        <v>1832</v>
      </c>
      <c r="D82" s="1308" t="s">
        <v>1827</v>
      </c>
      <c r="E82" s="1308" t="s">
        <v>1677</v>
      </c>
      <c r="F82" s="1315">
        <v>0</v>
      </c>
      <c r="G82" s="1316">
        <f t="shared" si="9"/>
        <v>0</v>
      </c>
      <c r="H82" s="1315">
        <v>-12662588.611799998</v>
      </c>
      <c r="I82" s="1316">
        <f t="shared" si="10"/>
        <v>4431906.0141299991</v>
      </c>
      <c r="J82" s="1316">
        <f t="shared" si="11"/>
        <v>-8230682.5976699991</v>
      </c>
      <c r="K82" s="1317"/>
      <c r="L82" s="1315">
        <v>0</v>
      </c>
      <c r="M82" s="1316">
        <f t="shared" si="12"/>
        <v>0</v>
      </c>
      <c r="N82" s="1315">
        <v>-12662588.611799998</v>
      </c>
      <c r="O82" s="1316">
        <f t="shared" si="13"/>
        <v>2659143.6084779995</v>
      </c>
      <c r="P82" s="1316">
        <f t="shared" si="14"/>
        <v>-10003445.003321998</v>
      </c>
      <c r="Q82" s="1318"/>
      <c r="R82" s="1316">
        <f t="shared" si="15"/>
        <v>1772762.4056519987</v>
      </c>
      <c r="S82" s="1317"/>
      <c r="T82" s="1315">
        <v>0</v>
      </c>
      <c r="U82" s="1317"/>
      <c r="V82" s="1315">
        <f>R82</f>
        <v>1772762.4056519987</v>
      </c>
      <c r="W82" s="1317"/>
      <c r="X82" s="1316">
        <f t="shared" si="16"/>
        <v>0</v>
      </c>
      <c r="Y82" s="1311"/>
      <c r="Z82" s="1312" t="s">
        <v>1801</v>
      </c>
      <c r="AA82" s="1313"/>
      <c r="AB82" s="1312" t="s">
        <v>36</v>
      </c>
      <c r="AC82" s="1313"/>
      <c r="AD82" s="1820">
        <v>0.17320000000000002</v>
      </c>
      <c r="AE82" s="1313"/>
      <c r="AF82" s="1316">
        <f t="shared" si="17"/>
        <v>0</v>
      </c>
      <c r="AG82" s="1313"/>
      <c r="AH82" s="1307">
        <v>282</v>
      </c>
      <c r="AI82" s="1307"/>
    </row>
    <row r="83" spans="2:35" ht="14.5">
      <c r="B83" s="1307">
        <v>69</v>
      </c>
      <c r="C83" s="1308" t="s">
        <v>1833</v>
      </c>
      <c r="D83" s="1308" t="s">
        <v>1834</v>
      </c>
      <c r="E83" s="1308" t="s">
        <v>1677</v>
      </c>
      <c r="F83" s="1315">
        <v>0</v>
      </c>
      <c r="G83" s="1316">
        <f t="shared" si="9"/>
        <v>0</v>
      </c>
      <c r="H83" s="1315">
        <v>-740952.69480000786</v>
      </c>
      <c r="I83" s="1316">
        <f t="shared" si="10"/>
        <v>259333.44318000274</v>
      </c>
      <c r="J83" s="1316">
        <f t="shared" si="11"/>
        <v>-481619.25162000512</v>
      </c>
      <c r="K83" s="1317"/>
      <c r="L83" s="1315">
        <v>0</v>
      </c>
      <c r="M83" s="1316">
        <f t="shared" si="12"/>
        <v>0</v>
      </c>
      <c r="N83" s="1315">
        <v>-740952.69480000786</v>
      </c>
      <c r="O83" s="1316">
        <f t="shared" si="13"/>
        <v>155600.06590800165</v>
      </c>
      <c r="P83" s="1316">
        <f t="shared" si="14"/>
        <v>-585352.62889200624</v>
      </c>
      <c r="Q83" s="1318"/>
      <c r="R83" s="1316">
        <f t="shared" si="15"/>
        <v>103733.37727200112</v>
      </c>
      <c r="S83" s="1317"/>
      <c r="T83" s="1315">
        <v>0</v>
      </c>
      <c r="U83" s="1317"/>
      <c r="V83" s="1315">
        <v>0</v>
      </c>
      <c r="W83" s="1317"/>
      <c r="X83" s="1316">
        <f t="shared" si="16"/>
        <v>103733.37727200112</v>
      </c>
      <c r="Y83" s="1311"/>
      <c r="Z83" s="1312" t="s">
        <v>1801</v>
      </c>
      <c r="AA83" s="1313"/>
      <c r="AB83" s="1312" t="s">
        <v>36</v>
      </c>
      <c r="AC83" s="1313"/>
      <c r="AD83" s="1820">
        <v>0.17320000000000002</v>
      </c>
      <c r="AE83" s="1313"/>
      <c r="AF83" s="1316">
        <f t="shared" si="17"/>
        <v>17966.620943510596</v>
      </c>
      <c r="AG83" s="1313"/>
      <c r="AH83" s="1307">
        <v>282</v>
      </c>
      <c r="AI83" s="1307"/>
    </row>
    <row r="84" spans="2:35" ht="14.5">
      <c r="B84" s="1307">
        <v>70</v>
      </c>
      <c r="C84" s="1308" t="s">
        <v>1835</v>
      </c>
      <c r="D84" s="1308" t="s">
        <v>1834</v>
      </c>
      <c r="E84" s="1308" t="s">
        <v>1677</v>
      </c>
      <c r="F84" s="1315">
        <v>0</v>
      </c>
      <c r="G84" s="1316">
        <f t="shared" si="9"/>
        <v>0</v>
      </c>
      <c r="H84" s="1315">
        <v>875564.59499999997</v>
      </c>
      <c r="I84" s="1316">
        <f t="shared" si="10"/>
        <v>-306447.60824999999</v>
      </c>
      <c r="J84" s="1316">
        <f t="shared" si="11"/>
        <v>569116.98674999992</v>
      </c>
      <c r="K84" s="1317"/>
      <c r="L84" s="1315">
        <v>0</v>
      </c>
      <c r="M84" s="1316">
        <f t="shared" si="12"/>
        <v>0</v>
      </c>
      <c r="N84" s="1315">
        <v>875564.59499999997</v>
      </c>
      <c r="O84" s="1316">
        <f t="shared" si="13"/>
        <v>-183868.56495</v>
      </c>
      <c r="P84" s="1316">
        <f t="shared" si="14"/>
        <v>691696.03004999994</v>
      </c>
      <c r="Q84" s="1318"/>
      <c r="R84" s="1316">
        <f t="shared" si="15"/>
        <v>-122579.04330000002</v>
      </c>
      <c r="S84" s="1317"/>
      <c r="T84" s="1315">
        <v>0</v>
      </c>
      <c r="U84" s="1317"/>
      <c r="V84" s="1315">
        <v>0</v>
      </c>
      <c r="W84" s="1317"/>
      <c r="X84" s="1316">
        <f t="shared" si="16"/>
        <v>-122579.04330000002</v>
      </c>
      <c r="Y84" s="1311"/>
      <c r="Z84" s="1312" t="s">
        <v>1801</v>
      </c>
      <c r="AA84" s="1313"/>
      <c r="AB84" s="1312" t="s">
        <v>37</v>
      </c>
      <c r="AC84" s="1313"/>
      <c r="AD84" s="1820">
        <v>0</v>
      </c>
      <c r="AE84" s="1313"/>
      <c r="AF84" s="1316">
        <f t="shared" si="17"/>
        <v>0</v>
      </c>
      <c r="AG84" s="1313"/>
      <c r="AH84" s="1307">
        <v>282</v>
      </c>
      <c r="AI84" s="1307"/>
    </row>
    <row r="85" spans="2:35" ht="14.5">
      <c r="B85" s="1307">
        <v>71</v>
      </c>
      <c r="C85" s="1308" t="s">
        <v>1836</v>
      </c>
      <c r="D85" s="1308" t="s">
        <v>1827</v>
      </c>
      <c r="E85" s="1308" t="s">
        <v>1677</v>
      </c>
      <c r="F85" s="1315">
        <v>0</v>
      </c>
      <c r="G85" s="1316">
        <f t="shared" si="9"/>
        <v>0</v>
      </c>
      <c r="H85" s="1315">
        <v>-112117869.58673999</v>
      </c>
      <c r="I85" s="1316">
        <f t="shared" si="10"/>
        <v>39241254.355358995</v>
      </c>
      <c r="J85" s="1316">
        <f t="shared" si="11"/>
        <v>-72876615.231380999</v>
      </c>
      <c r="K85" s="1317"/>
      <c r="L85" s="1315">
        <v>0</v>
      </c>
      <c r="M85" s="1316">
        <f t="shared" si="12"/>
        <v>0</v>
      </c>
      <c r="N85" s="1315">
        <v>-112117869.58673999</v>
      </c>
      <c r="O85" s="1316">
        <f t="shared" si="13"/>
        <v>23544752.613215398</v>
      </c>
      <c r="P85" s="1316">
        <f t="shared" si="14"/>
        <v>-88573116.973524585</v>
      </c>
      <c r="Q85" s="1318"/>
      <c r="R85" s="1316">
        <f t="shared" si="15"/>
        <v>15696501.742143586</v>
      </c>
      <c r="S85" s="1317"/>
      <c r="T85" s="1315">
        <v>0</v>
      </c>
      <c r="U85" s="1317"/>
      <c r="V85" s="1315">
        <v>0</v>
      </c>
      <c r="W85" s="1317"/>
      <c r="X85" s="1316">
        <f t="shared" si="16"/>
        <v>15696501.742143586</v>
      </c>
      <c r="Y85" s="1311"/>
      <c r="Z85" s="1312" t="s">
        <v>1801</v>
      </c>
      <c r="AA85" s="1313"/>
      <c r="AB85" s="1312" t="s">
        <v>36</v>
      </c>
      <c r="AC85" s="1313"/>
      <c r="AD85" s="1820">
        <v>0.17320000000000002</v>
      </c>
      <c r="AE85" s="1313"/>
      <c r="AF85" s="1316">
        <f t="shared" si="17"/>
        <v>2718634.1017392697</v>
      </c>
      <c r="AG85" s="1313"/>
      <c r="AH85" s="1307">
        <v>282</v>
      </c>
      <c r="AI85" s="1307"/>
    </row>
    <row r="86" spans="2:35" ht="14.5">
      <c r="B86" s="1307">
        <v>72</v>
      </c>
      <c r="C86" s="1308" t="s">
        <v>1837</v>
      </c>
      <c r="D86" s="1308" t="s">
        <v>1827</v>
      </c>
      <c r="E86" s="1308" t="s">
        <v>1677</v>
      </c>
      <c r="F86" s="1315">
        <v>0</v>
      </c>
      <c r="G86" s="1316">
        <f t="shared" si="9"/>
        <v>0</v>
      </c>
      <c r="H86" s="1315">
        <v>5666812.5438399995</v>
      </c>
      <c r="I86" s="1316">
        <f t="shared" si="10"/>
        <v>-1983384.3903439997</v>
      </c>
      <c r="J86" s="1316">
        <f t="shared" si="11"/>
        <v>3683428.153496</v>
      </c>
      <c r="K86" s="1317"/>
      <c r="L86" s="1315">
        <v>0</v>
      </c>
      <c r="M86" s="1316">
        <f t="shared" si="12"/>
        <v>0</v>
      </c>
      <c r="N86" s="1315">
        <v>5666812.5438399995</v>
      </c>
      <c r="O86" s="1316">
        <f t="shared" si="13"/>
        <v>-1190030.6342063998</v>
      </c>
      <c r="P86" s="1316">
        <f t="shared" si="14"/>
        <v>4476781.9096335992</v>
      </c>
      <c r="Q86" s="1318"/>
      <c r="R86" s="1316">
        <f t="shared" si="15"/>
        <v>-793353.75613759924</v>
      </c>
      <c r="S86" s="1317"/>
      <c r="T86" s="1315">
        <v>0</v>
      </c>
      <c r="U86" s="1317"/>
      <c r="V86" s="1315">
        <v>0</v>
      </c>
      <c r="W86" s="1317"/>
      <c r="X86" s="1316">
        <f t="shared" si="16"/>
        <v>-793353.75613759924</v>
      </c>
      <c r="Y86" s="1311"/>
      <c r="Z86" s="1312" t="s">
        <v>1801</v>
      </c>
      <c r="AA86" s="1313"/>
      <c r="AB86" s="1312" t="s">
        <v>37</v>
      </c>
      <c r="AC86" s="1313"/>
      <c r="AD86" s="1820">
        <v>0</v>
      </c>
      <c r="AE86" s="1313"/>
      <c r="AF86" s="1316">
        <f t="shared" si="17"/>
        <v>0</v>
      </c>
      <c r="AG86" s="1313"/>
      <c r="AH86" s="1307">
        <v>282</v>
      </c>
      <c r="AI86" s="1307"/>
    </row>
    <row r="87" spans="2:35" ht="14.5">
      <c r="B87" s="1307">
        <v>73</v>
      </c>
      <c r="C87" s="1308" t="s">
        <v>1838</v>
      </c>
      <c r="D87" s="1308" t="s">
        <v>1827</v>
      </c>
      <c r="E87" s="1308" t="s">
        <v>1677</v>
      </c>
      <c r="F87" s="1315">
        <v>0</v>
      </c>
      <c r="G87" s="1316">
        <f t="shared" si="9"/>
        <v>0</v>
      </c>
      <c r="H87" s="1315">
        <v>-4499321.108289999</v>
      </c>
      <c r="I87" s="1316">
        <f t="shared" si="10"/>
        <v>1574762.3879014996</v>
      </c>
      <c r="J87" s="1316">
        <f t="shared" si="11"/>
        <v>-2924558.7203884991</v>
      </c>
      <c r="K87" s="1317"/>
      <c r="L87" s="1315">
        <v>0</v>
      </c>
      <c r="M87" s="1316">
        <f t="shared" si="12"/>
        <v>0</v>
      </c>
      <c r="N87" s="1315">
        <v>-4499321.108289999</v>
      </c>
      <c r="O87" s="1316">
        <f t="shared" si="13"/>
        <v>944857.43274089973</v>
      </c>
      <c r="P87" s="1316">
        <f t="shared" si="14"/>
        <v>-3554463.6755490992</v>
      </c>
      <c r="Q87" s="1318"/>
      <c r="R87" s="1316">
        <f t="shared" si="15"/>
        <v>629904.95516060013</v>
      </c>
      <c r="S87" s="1317"/>
      <c r="T87" s="1315">
        <v>0</v>
      </c>
      <c r="U87" s="1317"/>
      <c r="V87" s="1315">
        <f>R87</f>
        <v>629904.95516060013</v>
      </c>
      <c r="W87" s="1317"/>
      <c r="X87" s="1316">
        <f t="shared" si="16"/>
        <v>0</v>
      </c>
      <c r="Y87" s="1311"/>
      <c r="Z87" s="1312" t="s">
        <v>1801</v>
      </c>
      <c r="AA87" s="1313"/>
      <c r="AB87" s="1312" t="s">
        <v>36</v>
      </c>
      <c r="AC87" s="1313"/>
      <c r="AD87" s="1820">
        <v>0.17320000000000002</v>
      </c>
      <c r="AE87" s="1313"/>
      <c r="AF87" s="1316">
        <f t="shared" si="17"/>
        <v>0</v>
      </c>
      <c r="AG87" s="1313"/>
      <c r="AH87" s="1307">
        <v>282</v>
      </c>
      <c r="AI87" s="1307"/>
    </row>
    <row r="88" spans="2:35" ht="14.5">
      <c r="B88" s="1307">
        <v>74</v>
      </c>
      <c r="C88" s="1308" t="s">
        <v>1839</v>
      </c>
      <c r="D88" s="1308" t="s">
        <v>1834</v>
      </c>
      <c r="E88" s="1308" t="s">
        <v>1677</v>
      </c>
      <c r="F88" s="1315">
        <v>0</v>
      </c>
      <c r="G88" s="1316">
        <f t="shared" si="9"/>
        <v>0</v>
      </c>
      <c r="H88" s="1315">
        <v>-510434.16100081935</v>
      </c>
      <c r="I88" s="1316">
        <f t="shared" si="10"/>
        <v>178651.95635028675</v>
      </c>
      <c r="J88" s="1316">
        <f t="shared" si="11"/>
        <v>-331782.20465053257</v>
      </c>
      <c r="K88" s="1317"/>
      <c r="L88" s="1315">
        <v>0</v>
      </c>
      <c r="M88" s="1316">
        <f t="shared" si="12"/>
        <v>0</v>
      </c>
      <c r="N88" s="1315">
        <v>-510434.16100081935</v>
      </c>
      <c r="O88" s="1316">
        <f t="shared" si="13"/>
        <v>107191.17381017205</v>
      </c>
      <c r="P88" s="1316">
        <f t="shared" si="14"/>
        <v>-403242.98719064728</v>
      </c>
      <c r="Q88" s="1318"/>
      <c r="R88" s="1316">
        <f t="shared" si="15"/>
        <v>71460.782540114713</v>
      </c>
      <c r="S88" s="1317"/>
      <c r="T88" s="1315">
        <v>0</v>
      </c>
      <c r="U88" s="1317"/>
      <c r="V88" s="1315">
        <v>0</v>
      </c>
      <c r="W88" s="1317"/>
      <c r="X88" s="1316">
        <f t="shared" si="16"/>
        <v>71460.782540114713</v>
      </c>
      <c r="Y88" s="1311"/>
      <c r="Z88" s="1312" t="s">
        <v>1801</v>
      </c>
      <c r="AA88" s="1313"/>
      <c r="AB88" s="1312" t="s">
        <v>36</v>
      </c>
      <c r="AC88" s="1313"/>
      <c r="AD88" s="1820">
        <v>0.17320000000000002</v>
      </c>
      <c r="AE88" s="1313"/>
      <c r="AF88" s="1316">
        <f t="shared" si="17"/>
        <v>12377.007535947871</v>
      </c>
      <c r="AG88" s="1313"/>
      <c r="AH88" s="1307">
        <v>282</v>
      </c>
      <c r="AI88" s="1307"/>
    </row>
    <row r="89" spans="2:35" ht="14.5">
      <c r="B89" s="1307">
        <v>75</v>
      </c>
      <c r="C89" s="1308" t="s">
        <v>1840</v>
      </c>
      <c r="D89" s="1308" t="s">
        <v>1834</v>
      </c>
      <c r="E89" s="1308" t="s">
        <v>1677</v>
      </c>
      <c r="F89" s="1315">
        <v>0</v>
      </c>
      <c r="G89" s="1316">
        <f t="shared" si="9"/>
        <v>0</v>
      </c>
      <c r="H89" s="1315">
        <v>603166.72100000002</v>
      </c>
      <c r="I89" s="1316">
        <f t="shared" si="10"/>
        <v>-211108.35235</v>
      </c>
      <c r="J89" s="1316">
        <f t="shared" si="11"/>
        <v>392058.36865000002</v>
      </c>
      <c r="K89" s="1317"/>
      <c r="L89" s="1315">
        <v>0</v>
      </c>
      <c r="M89" s="1316">
        <f t="shared" si="12"/>
        <v>0</v>
      </c>
      <c r="N89" s="1315">
        <v>603166.72100000002</v>
      </c>
      <c r="O89" s="1316">
        <f t="shared" si="13"/>
        <v>-126665.01141000001</v>
      </c>
      <c r="P89" s="1316">
        <f t="shared" si="14"/>
        <v>476501.70958999998</v>
      </c>
      <c r="Q89" s="1318"/>
      <c r="R89" s="1316">
        <f t="shared" si="15"/>
        <v>-84443.340939999965</v>
      </c>
      <c r="S89" s="1317"/>
      <c r="T89" s="1315">
        <v>0</v>
      </c>
      <c r="U89" s="1317"/>
      <c r="V89" s="1315">
        <v>0</v>
      </c>
      <c r="W89" s="1317"/>
      <c r="X89" s="1316">
        <f t="shared" si="16"/>
        <v>-84443.340939999965</v>
      </c>
      <c r="Y89" s="1311"/>
      <c r="Z89" s="1312" t="s">
        <v>1801</v>
      </c>
      <c r="AA89" s="1313"/>
      <c r="AB89" s="1312" t="s">
        <v>37</v>
      </c>
      <c r="AC89" s="1313"/>
      <c r="AD89" s="1820">
        <v>0</v>
      </c>
      <c r="AE89" s="1313"/>
      <c r="AF89" s="1316">
        <f t="shared" si="17"/>
        <v>0</v>
      </c>
      <c r="AG89" s="1313"/>
      <c r="AH89" s="1307">
        <v>282</v>
      </c>
      <c r="AI89" s="1307"/>
    </row>
    <row r="90" spans="2:35" ht="14.5">
      <c r="B90" s="1307">
        <v>76</v>
      </c>
      <c r="C90" s="1308" t="s">
        <v>1841</v>
      </c>
      <c r="D90" s="1308" t="s">
        <v>1834</v>
      </c>
      <c r="E90" s="1308" t="s">
        <v>1677</v>
      </c>
      <c r="F90" s="1315">
        <v>-16465645.023610234</v>
      </c>
      <c r="G90" s="1316">
        <f t="shared" si="9"/>
        <v>-5762975.7582635814</v>
      </c>
      <c r="H90" s="1315">
        <v>0</v>
      </c>
      <c r="I90" s="1316">
        <f t="shared" si="10"/>
        <v>0</v>
      </c>
      <c r="J90" s="1316">
        <f t="shared" si="11"/>
        <v>-5762975.7582635814</v>
      </c>
      <c r="K90" s="1317"/>
      <c r="L90" s="1315">
        <v>-16465645.023610234</v>
      </c>
      <c r="M90" s="1316">
        <f t="shared" si="12"/>
        <v>-3457785.4549581492</v>
      </c>
      <c r="N90" s="1315">
        <v>0</v>
      </c>
      <c r="O90" s="1316">
        <f t="shared" si="13"/>
        <v>0</v>
      </c>
      <c r="P90" s="1316">
        <f t="shared" si="14"/>
        <v>-3457785.4549581492</v>
      </c>
      <c r="Q90" s="1318"/>
      <c r="R90" s="1316">
        <f t="shared" si="15"/>
        <v>-2305190.3033054322</v>
      </c>
      <c r="S90" s="1317"/>
      <c r="T90" s="1315">
        <v>0</v>
      </c>
      <c r="U90" s="1317"/>
      <c r="V90" s="1315">
        <v>0</v>
      </c>
      <c r="W90" s="1317"/>
      <c r="X90" s="1316">
        <f t="shared" si="16"/>
        <v>-2305190.3033054322</v>
      </c>
      <c r="Y90" s="1311"/>
      <c r="Z90" s="1312" t="s">
        <v>1801</v>
      </c>
      <c r="AA90" s="1313"/>
      <c r="AB90" s="1312" t="s">
        <v>36</v>
      </c>
      <c r="AC90" s="1313"/>
      <c r="AD90" s="1820">
        <v>0.17320000000000002</v>
      </c>
      <c r="AE90" s="1313"/>
      <c r="AF90" s="1316">
        <f t="shared" si="17"/>
        <v>-399258.96053250093</v>
      </c>
      <c r="AG90" s="1313"/>
      <c r="AH90" s="1307">
        <v>282</v>
      </c>
      <c r="AI90" s="1307"/>
    </row>
    <row r="91" spans="2:35" ht="14.5">
      <c r="B91" s="1307">
        <v>77</v>
      </c>
      <c r="C91" s="1308" t="s">
        <v>1842</v>
      </c>
      <c r="D91" s="1308" t="s">
        <v>1834</v>
      </c>
      <c r="E91" s="1308" t="s">
        <v>1677</v>
      </c>
      <c r="F91" s="1315">
        <v>19456991</v>
      </c>
      <c r="G91" s="1316">
        <f t="shared" si="9"/>
        <v>6809946.8499999996</v>
      </c>
      <c r="H91" s="1315">
        <v>0</v>
      </c>
      <c r="I91" s="1316">
        <f t="shared" si="10"/>
        <v>0</v>
      </c>
      <c r="J91" s="1316">
        <f t="shared" si="11"/>
        <v>6809946.8499999996</v>
      </c>
      <c r="K91" s="1317"/>
      <c r="L91" s="1315">
        <v>19456991</v>
      </c>
      <c r="M91" s="1316">
        <f t="shared" si="12"/>
        <v>4085968.11</v>
      </c>
      <c r="N91" s="1315">
        <v>0</v>
      </c>
      <c r="O91" s="1316">
        <f t="shared" si="13"/>
        <v>0</v>
      </c>
      <c r="P91" s="1316">
        <f t="shared" si="14"/>
        <v>4085968.11</v>
      </c>
      <c r="Q91" s="1318"/>
      <c r="R91" s="1316">
        <f t="shared" si="15"/>
        <v>2723978.7399999998</v>
      </c>
      <c r="S91" s="1317"/>
      <c r="T91" s="1315">
        <v>0</v>
      </c>
      <c r="U91" s="1317"/>
      <c r="V91" s="1315">
        <v>0</v>
      </c>
      <c r="W91" s="1317"/>
      <c r="X91" s="1316">
        <f t="shared" si="16"/>
        <v>2723978.7399999998</v>
      </c>
      <c r="Y91" s="1311"/>
      <c r="Z91" s="1312" t="s">
        <v>1801</v>
      </c>
      <c r="AA91" s="1313"/>
      <c r="AB91" s="1312" t="s">
        <v>37</v>
      </c>
      <c r="AC91" s="1313"/>
      <c r="AD91" s="1820">
        <v>0</v>
      </c>
      <c r="AE91" s="1313"/>
      <c r="AF91" s="1316">
        <f t="shared" si="17"/>
        <v>0</v>
      </c>
      <c r="AG91" s="1313"/>
      <c r="AH91" s="1307">
        <v>282</v>
      </c>
      <c r="AI91" s="1307"/>
    </row>
    <row r="92" spans="2:35" ht="14.5">
      <c r="B92" s="1307">
        <v>78</v>
      </c>
      <c r="C92" s="1319" t="s">
        <v>1843</v>
      </c>
      <c r="D92" s="1312"/>
      <c r="E92" s="1312"/>
      <c r="F92" s="1320">
        <f>SUM(F76:F91)</f>
        <v>-4552512954.2636099</v>
      </c>
      <c r="G92" s="1320">
        <f>SUM(G76:G91)</f>
        <v>-1593379533.9922633</v>
      </c>
      <c r="H92" s="1320">
        <f>SUM(H76:H91)</f>
        <v>-227799749.53349081</v>
      </c>
      <c r="I92" s="1320">
        <f>SUM(I76:I91)</f>
        <v>79729912.336721778</v>
      </c>
      <c r="J92" s="1320">
        <f>SUM(J76:J91)</f>
        <v>-1741449371.1890326</v>
      </c>
      <c r="K92" s="1311"/>
      <c r="L92" s="1320">
        <f>SUM(L76:L91)</f>
        <v>-4552512954.2636099</v>
      </c>
      <c r="M92" s="1320">
        <f>SUM(M76:M91)</f>
        <v>-956027720.39535797</v>
      </c>
      <c r="N92" s="1320">
        <f>SUM(N76:N91)</f>
        <v>-227799749.53349081</v>
      </c>
      <c r="O92" s="1320">
        <f>SUM(O76:O91)</f>
        <v>47837947.402033061</v>
      </c>
      <c r="P92" s="1320">
        <f>SUM(P76:P91)</f>
        <v>-1135989522.5268159</v>
      </c>
      <c r="R92" s="1320">
        <f>SUM(R76:R91)</f>
        <v>-605459848.66221666</v>
      </c>
      <c r="S92" s="1311"/>
      <c r="T92" s="1320">
        <f>SUM(T76:T91)</f>
        <v>0</v>
      </c>
      <c r="U92" s="1311"/>
      <c r="V92" s="1320">
        <f>SUM(V76:V91)</f>
        <v>-37007774.91878739</v>
      </c>
      <c r="W92" s="1311"/>
      <c r="X92" s="1320">
        <f>SUM(X76:X91)</f>
        <v>-568452073.74342918</v>
      </c>
      <c r="Y92" s="1311"/>
      <c r="Z92" s="1312"/>
      <c r="AA92" s="1313"/>
      <c r="AB92" s="1312"/>
      <c r="AC92" s="1313"/>
      <c r="AD92" s="1314"/>
      <c r="AE92" s="1313"/>
      <c r="AF92" s="1320">
        <f>SUM(AF76:AF91)</f>
        <v>-102184483.80302684</v>
      </c>
      <c r="AG92" s="1313"/>
      <c r="AH92" s="1307"/>
      <c r="AI92" s="1307"/>
    </row>
    <row r="93" spans="2:35" ht="14.5">
      <c r="B93" s="1307"/>
      <c r="C93" s="1312"/>
      <c r="D93" s="1312"/>
      <c r="E93" s="1312"/>
      <c r="F93" s="1310"/>
      <c r="G93" s="1310"/>
      <c r="H93" s="1310"/>
      <c r="I93" s="1310"/>
      <c r="J93" s="1310"/>
      <c r="K93" s="1311"/>
      <c r="L93" s="1310"/>
      <c r="M93" s="1310"/>
      <c r="N93" s="1310"/>
      <c r="O93" s="1310"/>
      <c r="P93" s="1310"/>
      <c r="R93" s="1310"/>
      <c r="S93" s="1311"/>
      <c r="T93" s="1310"/>
      <c r="U93" s="1311"/>
      <c r="V93" s="1310"/>
      <c r="W93" s="1311"/>
      <c r="X93" s="1310"/>
      <c r="Y93" s="1311"/>
      <c r="Z93" s="1312"/>
      <c r="AA93" s="1313"/>
      <c r="AB93" s="1312"/>
      <c r="AC93" s="1313"/>
      <c r="AD93" s="1314"/>
      <c r="AE93" s="1313"/>
      <c r="AF93" s="1310"/>
      <c r="AG93" s="1313"/>
      <c r="AH93" s="1307"/>
      <c r="AI93" s="1307"/>
    </row>
    <row r="94" spans="2:35" ht="14.5">
      <c r="B94" s="1307"/>
      <c r="C94" s="1306" t="s">
        <v>1844</v>
      </c>
      <c r="D94" s="1312"/>
      <c r="E94" s="1312"/>
      <c r="F94" s="1310"/>
      <c r="G94" s="1310"/>
      <c r="H94" s="1310"/>
      <c r="I94" s="1310"/>
      <c r="J94" s="1310"/>
      <c r="K94" s="1311"/>
      <c r="L94" s="1310"/>
      <c r="M94" s="1310"/>
      <c r="N94" s="1310"/>
      <c r="O94" s="1310"/>
      <c r="P94" s="1310"/>
      <c r="R94" s="1310"/>
      <c r="S94" s="1311"/>
      <c r="T94" s="1310"/>
      <c r="U94" s="1311"/>
      <c r="V94" s="1310"/>
      <c r="W94" s="1311"/>
      <c r="X94" s="1310"/>
      <c r="Y94" s="1311"/>
      <c r="Z94" s="1312"/>
      <c r="AA94" s="1313"/>
      <c r="AB94" s="1312"/>
      <c r="AC94" s="1313"/>
      <c r="AD94" s="1314"/>
      <c r="AE94" s="1313"/>
      <c r="AF94" s="1310"/>
      <c r="AG94" s="1313"/>
      <c r="AH94" s="1307"/>
      <c r="AI94" s="1307"/>
    </row>
    <row r="95" spans="2:35" ht="14.5">
      <c r="B95" s="1307">
        <v>79</v>
      </c>
      <c r="C95" s="1308" t="s">
        <v>1845</v>
      </c>
      <c r="D95" s="1308" t="s">
        <v>369</v>
      </c>
      <c r="E95" s="1308" t="s">
        <v>1754</v>
      </c>
      <c r="F95" s="1309">
        <v>-3209084.45</v>
      </c>
      <c r="G95" s="1310">
        <f t="shared" ref="G95:G115" si="18">F95*0.35</f>
        <v>-1123179.5574999999</v>
      </c>
      <c r="H95" s="1309">
        <v>-243890.41820000001</v>
      </c>
      <c r="I95" s="1310">
        <f t="shared" ref="I95:I115" si="19">-H95*0.35</f>
        <v>85361.646370000002</v>
      </c>
      <c r="J95" s="1310">
        <f t="shared" ref="J95:J115" si="20">G95+H95+I95</f>
        <v>-1281708.3293299999</v>
      </c>
      <c r="K95" s="1311"/>
      <c r="L95" s="1309">
        <v>-3209084.45</v>
      </c>
      <c r="M95" s="1310">
        <f t="shared" ref="M95:M115" si="21">L95*0.21</f>
        <v>-673907.73450000002</v>
      </c>
      <c r="N95" s="1309">
        <v>-243890.41820000001</v>
      </c>
      <c r="O95" s="1310">
        <f t="shared" ref="O95:O115" si="22">-N95*0.21</f>
        <v>51216.987822000003</v>
      </c>
      <c r="P95" s="1310">
        <f t="shared" ref="P95:P115" si="23">M95+N95+O95</f>
        <v>-866581.16487799992</v>
      </c>
      <c r="R95" s="1310">
        <f t="shared" ref="R95:R115" si="24">J95-P95</f>
        <v>-415127.16445199994</v>
      </c>
      <c r="S95" s="1311"/>
      <c r="T95" s="1309">
        <v>0</v>
      </c>
      <c r="U95" s="1311"/>
      <c r="V95" s="1309">
        <v>0</v>
      </c>
      <c r="W95" s="1311"/>
      <c r="X95" s="1310">
        <f t="shared" ref="X95:X115" si="25">R95-T95-V95</f>
        <v>-415127.16445199994</v>
      </c>
      <c r="Y95" s="1311"/>
      <c r="Z95" s="1312" t="s">
        <v>346</v>
      </c>
      <c r="AA95" s="1313"/>
      <c r="AB95" s="1312" t="s">
        <v>36</v>
      </c>
      <c r="AC95" s="1313"/>
      <c r="AD95" s="1820">
        <v>0.10089999999999999</v>
      </c>
      <c r="AE95" s="1313"/>
      <c r="AF95" s="1310">
        <f t="shared" ref="AF95:AF115" si="26">X95*AD95</f>
        <v>-41886.330893206788</v>
      </c>
      <c r="AG95" s="1313"/>
      <c r="AH95" s="1307">
        <v>283</v>
      </c>
      <c r="AI95" s="1307"/>
    </row>
    <row r="96" spans="2:35" ht="14.5">
      <c r="B96" s="1307">
        <v>80</v>
      </c>
      <c r="C96" s="1308" t="s">
        <v>1846</v>
      </c>
      <c r="D96" s="1308" t="s">
        <v>369</v>
      </c>
      <c r="E96" s="1308" t="s">
        <v>1754</v>
      </c>
      <c r="F96" s="1315">
        <v>-114312.71</v>
      </c>
      <c r="G96" s="1316">
        <f t="shared" si="18"/>
        <v>-40009.448499999999</v>
      </c>
      <c r="H96" s="1315">
        <v>-8687.7659600000006</v>
      </c>
      <c r="I96" s="1316">
        <f t="shared" si="19"/>
        <v>3040.7180859999999</v>
      </c>
      <c r="J96" s="1316">
        <f t="shared" si="20"/>
        <v>-45656.496374000002</v>
      </c>
      <c r="K96" s="1317"/>
      <c r="L96" s="1315">
        <v>-114312.71</v>
      </c>
      <c r="M96" s="1316">
        <f t="shared" si="21"/>
        <v>-24005.669099999999</v>
      </c>
      <c r="N96" s="1315">
        <v>-8687.7659600000006</v>
      </c>
      <c r="O96" s="1316">
        <f t="shared" si="22"/>
        <v>1824.4308516000001</v>
      </c>
      <c r="P96" s="1316">
        <f t="shared" si="23"/>
        <v>-30869.004208400002</v>
      </c>
      <c r="Q96" s="1318"/>
      <c r="R96" s="1316">
        <f t="shared" si="24"/>
        <v>-14787.492165600001</v>
      </c>
      <c r="S96" s="1317"/>
      <c r="T96" s="1315">
        <v>0</v>
      </c>
      <c r="U96" s="1317"/>
      <c r="V96" s="1315">
        <v>0</v>
      </c>
      <c r="W96" s="1317"/>
      <c r="X96" s="1316">
        <f t="shared" si="25"/>
        <v>-14787.492165600001</v>
      </c>
      <c r="Y96" s="1311"/>
      <c r="Z96" s="1312" t="s">
        <v>346</v>
      </c>
      <c r="AA96" s="1313"/>
      <c r="AB96" s="1312" t="s">
        <v>36</v>
      </c>
      <c r="AC96" s="1313"/>
      <c r="AD96" s="1820">
        <v>0.10089999999999999</v>
      </c>
      <c r="AE96" s="1313"/>
      <c r="AF96" s="1316">
        <f t="shared" si="26"/>
        <v>-1492.0579595090398</v>
      </c>
      <c r="AG96" s="1313"/>
      <c r="AH96" s="1307">
        <v>283</v>
      </c>
      <c r="AI96" s="1307"/>
    </row>
    <row r="97" spans="2:35" ht="14.5">
      <c r="B97" s="1307">
        <v>81</v>
      </c>
      <c r="C97" s="1308" t="s">
        <v>1847</v>
      </c>
      <c r="D97" s="1308" t="s">
        <v>369</v>
      </c>
      <c r="E97" s="1308" t="s">
        <v>1754</v>
      </c>
      <c r="F97" s="1315">
        <v>-11903056.49</v>
      </c>
      <c r="G97" s="1316">
        <f t="shared" si="18"/>
        <v>-4166069.7714999998</v>
      </c>
      <c r="H97" s="1315">
        <v>-904632.29324000003</v>
      </c>
      <c r="I97" s="1316">
        <f t="shared" si="19"/>
        <v>316621.30263399996</v>
      </c>
      <c r="J97" s="1316">
        <f t="shared" si="20"/>
        <v>-4754080.7621060004</v>
      </c>
      <c r="K97" s="1317"/>
      <c r="L97" s="1315">
        <v>-11903056.49</v>
      </c>
      <c r="M97" s="1316">
        <f t="shared" si="21"/>
        <v>-2499641.8629000001</v>
      </c>
      <c r="N97" s="1315">
        <v>-904632.29324000003</v>
      </c>
      <c r="O97" s="1316">
        <f t="shared" si="22"/>
        <v>189972.78158040001</v>
      </c>
      <c r="P97" s="1316">
        <f t="shared" si="23"/>
        <v>-3214301.3745595999</v>
      </c>
      <c r="Q97" s="1318"/>
      <c r="R97" s="1316">
        <f t="shared" si="24"/>
        <v>-1539779.3875464005</v>
      </c>
      <c r="S97" s="1317"/>
      <c r="T97" s="1315">
        <v>0</v>
      </c>
      <c r="U97" s="1317"/>
      <c r="V97" s="1315">
        <v>0</v>
      </c>
      <c r="W97" s="1317"/>
      <c r="X97" s="1316">
        <f t="shared" si="25"/>
        <v>-1539779.3875464005</v>
      </c>
      <c r="Y97" s="1311"/>
      <c r="Z97" s="1312" t="s">
        <v>346</v>
      </c>
      <c r="AA97" s="1313"/>
      <c r="AB97" s="1312" t="s">
        <v>36</v>
      </c>
      <c r="AC97" s="1313"/>
      <c r="AD97" s="1820">
        <v>0.10089999999999999</v>
      </c>
      <c r="AE97" s="1313"/>
      <c r="AF97" s="1316">
        <f t="shared" si="26"/>
        <v>-155363.74020343181</v>
      </c>
      <c r="AG97" s="1313"/>
      <c r="AH97" s="1307">
        <v>283</v>
      </c>
      <c r="AI97" s="1307"/>
    </row>
    <row r="98" spans="2:35" ht="14.5">
      <c r="B98" s="1307">
        <v>82</v>
      </c>
      <c r="C98" s="1308" t="s">
        <v>1848</v>
      </c>
      <c r="D98" s="1308" t="s">
        <v>370</v>
      </c>
      <c r="E98" s="1308" t="s">
        <v>1754</v>
      </c>
      <c r="F98" s="1315">
        <v>-25368491</v>
      </c>
      <c r="G98" s="1316">
        <f t="shared" si="18"/>
        <v>-8878971.8499999996</v>
      </c>
      <c r="H98" s="1315">
        <v>-1928005.3159999999</v>
      </c>
      <c r="I98" s="1316">
        <f t="shared" si="19"/>
        <v>674801.8605999999</v>
      </c>
      <c r="J98" s="1316">
        <f t="shared" si="20"/>
        <v>-10132175.305399999</v>
      </c>
      <c r="K98" s="1317"/>
      <c r="L98" s="1315">
        <v>-25368491</v>
      </c>
      <c r="M98" s="1316">
        <f t="shared" si="21"/>
        <v>-5327383.1099999994</v>
      </c>
      <c r="N98" s="1315">
        <v>-1928005.3159999999</v>
      </c>
      <c r="O98" s="1316">
        <f t="shared" si="22"/>
        <v>404881.11635999999</v>
      </c>
      <c r="P98" s="1316">
        <f t="shared" si="23"/>
        <v>-6850507.3096399987</v>
      </c>
      <c r="Q98" s="1318"/>
      <c r="R98" s="1316">
        <f t="shared" si="24"/>
        <v>-3281667.9957600003</v>
      </c>
      <c r="S98" s="1317"/>
      <c r="T98" s="1315">
        <v>0</v>
      </c>
      <c r="U98" s="1317"/>
      <c r="V98" s="1315">
        <v>0</v>
      </c>
      <c r="W98" s="1317"/>
      <c r="X98" s="1316">
        <f t="shared" si="25"/>
        <v>-3281667.9957600003</v>
      </c>
      <c r="Y98" s="1311"/>
      <c r="Z98" s="1312" t="s">
        <v>346</v>
      </c>
      <c r="AA98" s="1313"/>
      <c r="AB98" s="1312" t="s">
        <v>36</v>
      </c>
      <c r="AC98" s="1313"/>
      <c r="AD98" s="1820">
        <v>0.10089999999999999</v>
      </c>
      <c r="AE98" s="1313"/>
      <c r="AF98" s="1316">
        <f t="shared" si="26"/>
        <v>-331120.30077218398</v>
      </c>
      <c r="AG98" s="1313"/>
      <c r="AH98" s="1307">
        <v>283</v>
      </c>
      <c r="AI98" s="1307"/>
    </row>
    <row r="99" spans="2:35" ht="14.5">
      <c r="B99" s="1307">
        <v>83</v>
      </c>
      <c r="C99" s="1308" t="s">
        <v>1849</v>
      </c>
      <c r="D99" s="1308" t="s">
        <v>371</v>
      </c>
      <c r="E99" s="1308" t="s">
        <v>1754</v>
      </c>
      <c r="F99" s="1315">
        <v>-1484384.06</v>
      </c>
      <c r="G99" s="1316">
        <f t="shared" si="18"/>
        <v>-519534.42099999997</v>
      </c>
      <c r="H99" s="1315">
        <v>-112813.18856</v>
      </c>
      <c r="I99" s="1316">
        <f t="shared" si="19"/>
        <v>39484.615995999993</v>
      </c>
      <c r="J99" s="1316">
        <f t="shared" si="20"/>
        <v>-592862.993564</v>
      </c>
      <c r="K99" s="1317"/>
      <c r="L99" s="1315">
        <v>-1484384.06</v>
      </c>
      <c r="M99" s="1316">
        <f t="shared" si="21"/>
        <v>-311720.65259999997</v>
      </c>
      <c r="N99" s="1315">
        <v>-112813.18856</v>
      </c>
      <c r="O99" s="1316">
        <f t="shared" si="22"/>
        <v>23690.7695976</v>
      </c>
      <c r="P99" s="1316">
        <f t="shared" si="23"/>
        <v>-400843.07156239997</v>
      </c>
      <c r="Q99" s="1318"/>
      <c r="R99" s="1316">
        <f t="shared" si="24"/>
        <v>-192019.92200160003</v>
      </c>
      <c r="S99" s="1317"/>
      <c r="T99" s="1315">
        <v>0</v>
      </c>
      <c r="U99" s="1317"/>
      <c r="V99" s="1315">
        <v>0</v>
      </c>
      <c r="W99" s="1317"/>
      <c r="X99" s="1316">
        <f t="shared" si="25"/>
        <v>-192019.92200160003</v>
      </c>
      <c r="Y99" s="1311"/>
      <c r="Z99" s="1312" t="s">
        <v>346</v>
      </c>
      <c r="AA99" s="1313"/>
      <c r="AB99" s="1312" t="s">
        <v>36</v>
      </c>
      <c r="AC99" s="1313"/>
      <c r="AD99" s="1820">
        <v>0.10089999999999999</v>
      </c>
      <c r="AE99" s="1313"/>
      <c r="AF99" s="1316">
        <f t="shared" si="26"/>
        <v>-19374.810129961443</v>
      </c>
      <c r="AG99" s="1313"/>
      <c r="AH99" s="1307">
        <v>283</v>
      </c>
      <c r="AI99" s="1307"/>
    </row>
    <row r="100" spans="2:35" ht="14.5">
      <c r="B100" s="1307">
        <v>84</v>
      </c>
      <c r="C100" s="1308" t="s">
        <v>1850</v>
      </c>
      <c r="D100" s="1308" t="s">
        <v>130</v>
      </c>
      <c r="E100" s="1308" t="s">
        <v>1754</v>
      </c>
      <c r="F100" s="1315">
        <v>-615222.26</v>
      </c>
      <c r="G100" s="1316">
        <f t="shared" si="18"/>
        <v>-215327.791</v>
      </c>
      <c r="H100" s="1315">
        <v>-46756.891759999999</v>
      </c>
      <c r="I100" s="1316">
        <f t="shared" si="19"/>
        <v>16364.912115999998</v>
      </c>
      <c r="J100" s="1316">
        <f t="shared" si="20"/>
        <v>-245719.770644</v>
      </c>
      <c r="K100" s="1317"/>
      <c r="L100" s="1315">
        <v>-615222.26</v>
      </c>
      <c r="M100" s="1316">
        <f t="shared" si="21"/>
        <v>-129196.6746</v>
      </c>
      <c r="N100" s="1315">
        <v>-46756.891759999999</v>
      </c>
      <c r="O100" s="1316">
        <f t="shared" si="22"/>
        <v>9818.9472695999993</v>
      </c>
      <c r="P100" s="1316">
        <f t="shared" si="23"/>
        <v>-166134.6190904</v>
      </c>
      <c r="Q100" s="1318"/>
      <c r="R100" s="1316">
        <f t="shared" si="24"/>
        <v>-79585.151553600008</v>
      </c>
      <c r="S100" s="1317"/>
      <c r="T100" s="1315">
        <v>0</v>
      </c>
      <c r="U100" s="1317"/>
      <c r="V100" s="1315">
        <v>0</v>
      </c>
      <c r="W100" s="1317"/>
      <c r="X100" s="1316">
        <f t="shared" si="25"/>
        <v>-79585.151553600008</v>
      </c>
      <c r="Y100" s="1311"/>
      <c r="Z100" s="1312" t="s">
        <v>346</v>
      </c>
      <c r="AA100" s="1313"/>
      <c r="AB100" s="1312" t="s">
        <v>36</v>
      </c>
      <c r="AC100" s="1313"/>
      <c r="AD100" s="1820">
        <v>0.10089999999999999</v>
      </c>
      <c r="AE100" s="1313"/>
      <c r="AF100" s="1316">
        <f t="shared" si="26"/>
        <v>-8030.1417917582403</v>
      </c>
      <c r="AG100" s="1313"/>
      <c r="AH100" s="1307">
        <v>283</v>
      </c>
      <c r="AI100" s="1307"/>
    </row>
    <row r="101" spans="2:35" ht="14.5">
      <c r="B101" s="1307">
        <v>85</v>
      </c>
      <c r="C101" s="1308" t="s">
        <v>1851</v>
      </c>
      <c r="D101" s="1308" t="s">
        <v>372</v>
      </c>
      <c r="E101" s="1308" t="s">
        <v>1754</v>
      </c>
      <c r="F101" s="1315">
        <v>-184067950.44</v>
      </c>
      <c r="G101" s="1316">
        <f t="shared" si="18"/>
        <v>-64423782.653999992</v>
      </c>
      <c r="H101" s="1315">
        <v>-13989164.233439999</v>
      </c>
      <c r="I101" s="1316">
        <f t="shared" si="19"/>
        <v>4896207.4817039995</v>
      </c>
      <c r="J101" s="1316">
        <f t="shared" si="20"/>
        <v>-73516739.405735999</v>
      </c>
      <c r="K101" s="1317"/>
      <c r="L101" s="1315">
        <v>-184067950.44</v>
      </c>
      <c r="M101" s="1316">
        <f t="shared" si="21"/>
        <v>-38654269.592399999</v>
      </c>
      <c r="N101" s="1315">
        <v>-13989164.233439999</v>
      </c>
      <c r="O101" s="1316">
        <f t="shared" si="22"/>
        <v>2937724.4890223998</v>
      </c>
      <c r="P101" s="1316">
        <f t="shared" si="23"/>
        <v>-49705709.3368176</v>
      </c>
      <c r="Q101" s="1318"/>
      <c r="R101" s="1316">
        <f t="shared" si="24"/>
        <v>-23811030.0689184</v>
      </c>
      <c r="S101" s="1317"/>
      <c r="T101" s="1315">
        <v>0</v>
      </c>
      <c r="U101" s="1317"/>
      <c r="V101" s="1315">
        <v>0</v>
      </c>
      <c r="W101" s="1317"/>
      <c r="X101" s="1316">
        <f t="shared" si="25"/>
        <v>-23811030.0689184</v>
      </c>
      <c r="Y101" s="1311"/>
      <c r="Z101" s="1312" t="s">
        <v>1776</v>
      </c>
      <c r="AA101" s="1313"/>
      <c r="AB101" s="1312" t="s">
        <v>37</v>
      </c>
      <c r="AC101" s="1313"/>
      <c r="AD101" s="1820">
        <v>0</v>
      </c>
      <c r="AE101" s="1313"/>
      <c r="AF101" s="1316">
        <f t="shared" si="26"/>
        <v>0</v>
      </c>
      <c r="AG101" s="1313"/>
      <c r="AH101" s="1307">
        <v>283</v>
      </c>
      <c r="AI101" s="1307"/>
    </row>
    <row r="102" spans="2:35" ht="14.5">
      <c r="B102" s="1307">
        <v>86</v>
      </c>
      <c r="C102" s="1308" t="s">
        <v>1852</v>
      </c>
      <c r="D102" s="1308" t="s">
        <v>372</v>
      </c>
      <c r="E102" s="1308" t="s">
        <v>1754</v>
      </c>
      <c r="F102" s="1315">
        <v>-34886804.759999998</v>
      </c>
      <c r="G102" s="1316">
        <f t="shared" si="18"/>
        <v>-12210381.665999999</v>
      </c>
      <c r="H102" s="1315">
        <v>-2651397.1617599996</v>
      </c>
      <c r="I102" s="1316">
        <f t="shared" si="19"/>
        <v>927989.00661599974</v>
      </c>
      <c r="J102" s="1316">
        <f t="shared" si="20"/>
        <v>-13933789.821144</v>
      </c>
      <c r="K102" s="1317"/>
      <c r="L102" s="1315">
        <v>-34886804.759999998</v>
      </c>
      <c r="M102" s="1316">
        <f t="shared" si="21"/>
        <v>-7326228.9995999997</v>
      </c>
      <c r="N102" s="1315">
        <v>-2651397.1617599996</v>
      </c>
      <c r="O102" s="1316">
        <f t="shared" si="22"/>
        <v>556793.40396959987</v>
      </c>
      <c r="P102" s="1316">
        <f t="shared" si="23"/>
        <v>-9420832.7573903985</v>
      </c>
      <c r="Q102" s="1318"/>
      <c r="R102" s="1316">
        <f t="shared" si="24"/>
        <v>-4512957.0637536012</v>
      </c>
      <c r="S102" s="1317"/>
      <c r="T102" s="1315">
        <v>0</v>
      </c>
      <c r="U102" s="1317"/>
      <c r="V102" s="1315">
        <v>0</v>
      </c>
      <c r="W102" s="1317"/>
      <c r="X102" s="1316">
        <f t="shared" si="25"/>
        <v>-4512957.0637536012</v>
      </c>
      <c r="Y102" s="1311"/>
      <c r="Z102" s="1312" t="s">
        <v>1776</v>
      </c>
      <c r="AA102" s="1313"/>
      <c r="AB102" s="1312" t="s">
        <v>37</v>
      </c>
      <c r="AC102" s="1313"/>
      <c r="AD102" s="1820">
        <v>0</v>
      </c>
      <c r="AE102" s="1313"/>
      <c r="AF102" s="1316">
        <f t="shared" si="26"/>
        <v>0</v>
      </c>
      <c r="AG102" s="1313"/>
      <c r="AH102" s="1307">
        <v>283</v>
      </c>
      <c r="AI102" s="1307"/>
    </row>
    <row r="103" spans="2:35" ht="14.5">
      <c r="B103" s="1307">
        <v>87</v>
      </c>
      <c r="C103" s="1308" t="s">
        <v>1853</v>
      </c>
      <c r="D103" s="1308" t="s">
        <v>373</v>
      </c>
      <c r="E103" s="1308" t="s">
        <v>1754</v>
      </c>
      <c r="F103" s="1315">
        <v>-3060224</v>
      </c>
      <c r="G103" s="1316">
        <f t="shared" si="18"/>
        <v>-1071078.3999999999</v>
      </c>
      <c r="H103" s="1315">
        <v>-232577.024</v>
      </c>
      <c r="I103" s="1316">
        <f t="shared" si="19"/>
        <v>81401.958400000003</v>
      </c>
      <c r="J103" s="1316">
        <f t="shared" si="20"/>
        <v>-1222253.4655999998</v>
      </c>
      <c r="K103" s="1317"/>
      <c r="L103" s="1315">
        <v>-3060224</v>
      </c>
      <c r="M103" s="1316">
        <f t="shared" si="21"/>
        <v>-642647.03999999992</v>
      </c>
      <c r="N103" s="1315">
        <v>-232577.024</v>
      </c>
      <c r="O103" s="1316">
        <f t="shared" si="22"/>
        <v>48841.175040000002</v>
      </c>
      <c r="P103" s="1316">
        <f t="shared" si="23"/>
        <v>-826382.88895999989</v>
      </c>
      <c r="Q103" s="1318"/>
      <c r="R103" s="1316">
        <f t="shared" si="24"/>
        <v>-395870.57663999987</v>
      </c>
      <c r="S103" s="1317"/>
      <c r="T103" s="1315">
        <v>0</v>
      </c>
      <c r="U103" s="1317"/>
      <c r="V103" s="1315">
        <v>0</v>
      </c>
      <c r="W103" s="1317"/>
      <c r="X103" s="1316">
        <f t="shared" si="25"/>
        <v>-395870.57663999987</v>
      </c>
      <c r="Y103" s="1311"/>
      <c r="Z103" s="1312" t="s">
        <v>1251</v>
      </c>
      <c r="AA103" s="1313"/>
      <c r="AB103" s="1312" t="s">
        <v>36</v>
      </c>
      <c r="AC103" s="1313"/>
      <c r="AD103" s="1820">
        <v>1</v>
      </c>
      <c r="AE103" s="1313"/>
      <c r="AF103" s="1316">
        <f t="shared" si="26"/>
        <v>-395870.57663999987</v>
      </c>
      <c r="AG103" s="1313"/>
      <c r="AH103" s="1307">
        <v>283</v>
      </c>
      <c r="AI103" s="1307"/>
    </row>
    <row r="104" spans="2:35" ht="14.5">
      <c r="B104" s="1307">
        <v>88</v>
      </c>
      <c r="C104" s="1308" t="s">
        <v>1854</v>
      </c>
      <c r="D104" s="1308" t="s">
        <v>374</v>
      </c>
      <c r="E104" s="1308" t="s">
        <v>1754</v>
      </c>
      <c r="F104" s="1315">
        <v>-342995</v>
      </c>
      <c r="G104" s="1316">
        <f t="shared" si="18"/>
        <v>-120048.24999999999</v>
      </c>
      <c r="H104" s="1315">
        <v>-26067.62</v>
      </c>
      <c r="I104" s="1316">
        <f t="shared" si="19"/>
        <v>9123.6669999999995</v>
      </c>
      <c r="J104" s="1316">
        <f t="shared" si="20"/>
        <v>-136992.20300000001</v>
      </c>
      <c r="K104" s="1317"/>
      <c r="L104" s="1315">
        <v>-342995</v>
      </c>
      <c r="M104" s="1316">
        <f t="shared" si="21"/>
        <v>-72028.95</v>
      </c>
      <c r="N104" s="1315">
        <v>-26067.62</v>
      </c>
      <c r="O104" s="1316">
        <f t="shared" si="22"/>
        <v>5474.2001999999993</v>
      </c>
      <c r="P104" s="1316">
        <f t="shared" si="23"/>
        <v>-92622.369799999986</v>
      </c>
      <c r="Q104" s="1318"/>
      <c r="R104" s="1316">
        <f t="shared" si="24"/>
        <v>-44369.833200000023</v>
      </c>
      <c r="S104" s="1317"/>
      <c r="T104" s="1315">
        <v>0</v>
      </c>
      <c r="U104" s="1317"/>
      <c r="V104" s="1315">
        <v>0</v>
      </c>
      <c r="W104" s="1317"/>
      <c r="X104" s="1316">
        <f t="shared" si="25"/>
        <v>-44369.833200000023</v>
      </c>
      <c r="Y104" s="1311"/>
      <c r="Z104" s="1312" t="s">
        <v>346</v>
      </c>
      <c r="AA104" s="1313"/>
      <c r="AB104" s="1312" t="s">
        <v>37</v>
      </c>
      <c r="AC104" s="1313"/>
      <c r="AD104" s="1820">
        <v>0</v>
      </c>
      <c r="AE104" s="1313"/>
      <c r="AF104" s="1316">
        <f t="shared" si="26"/>
        <v>0</v>
      </c>
      <c r="AG104" s="1313"/>
      <c r="AH104" s="1307">
        <v>283</v>
      </c>
      <c r="AI104" s="1307"/>
    </row>
    <row r="105" spans="2:35" ht="14.5">
      <c r="B105" s="1307">
        <v>89</v>
      </c>
      <c r="C105" s="1308" t="s">
        <v>1855</v>
      </c>
      <c r="D105" s="1308" t="s">
        <v>374</v>
      </c>
      <c r="E105" s="1308" t="s">
        <v>1754</v>
      </c>
      <c r="F105" s="1315">
        <v>-63845417.539999999</v>
      </c>
      <c r="G105" s="1316">
        <f t="shared" si="18"/>
        <v>-22345896.138999999</v>
      </c>
      <c r="H105" s="1315">
        <v>-4852251.7330399994</v>
      </c>
      <c r="I105" s="1316">
        <f t="shared" si="19"/>
        <v>1698288.1065639998</v>
      </c>
      <c r="J105" s="1316">
        <f t="shared" si="20"/>
        <v>-25499859.765475996</v>
      </c>
      <c r="K105" s="1317"/>
      <c r="L105" s="1315">
        <v>-63845417.539999999</v>
      </c>
      <c r="M105" s="1316">
        <f t="shared" si="21"/>
        <v>-13407537.6834</v>
      </c>
      <c r="N105" s="1315">
        <v>-4852251.7330399994</v>
      </c>
      <c r="O105" s="1316">
        <f t="shared" si="22"/>
        <v>1018972.8639383998</v>
      </c>
      <c r="P105" s="1316">
        <f t="shared" si="23"/>
        <v>-17240816.5525016</v>
      </c>
      <c r="Q105" s="1318"/>
      <c r="R105" s="1316">
        <f t="shared" si="24"/>
        <v>-8259043.2129743956</v>
      </c>
      <c r="S105" s="1317"/>
      <c r="T105" s="1315">
        <v>0</v>
      </c>
      <c r="U105" s="1317"/>
      <c r="V105" s="1315">
        <v>0</v>
      </c>
      <c r="W105" s="1317"/>
      <c r="X105" s="1316">
        <f t="shared" si="25"/>
        <v>-8259043.2129743956</v>
      </c>
      <c r="Y105" s="1311"/>
      <c r="Z105" s="1312" t="s">
        <v>1756</v>
      </c>
      <c r="AA105" s="1313"/>
      <c r="AB105" s="1312" t="s">
        <v>37</v>
      </c>
      <c r="AC105" s="1313"/>
      <c r="AD105" s="1820">
        <v>0</v>
      </c>
      <c r="AE105" s="1313"/>
      <c r="AF105" s="1316">
        <f t="shared" si="26"/>
        <v>0</v>
      </c>
      <c r="AG105" s="1313"/>
      <c r="AH105" s="1307">
        <v>283</v>
      </c>
      <c r="AI105" s="1307"/>
    </row>
    <row r="106" spans="2:35" ht="14.5">
      <c r="B106" s="1307">
        <v>90</v>
      </c>
      <c r="C106" s="1308" t="s">
        <v>1856</v>
      </c>
      <c r="D106" s="1308" t="s">
        <v>374</v>
      </c>
      <c r="E106" s="1308" t="s">
        <v>1754</v>
      </c>
      <c r="F106" s="1315">
        <v>-57593938.119999997</v>
      </c>
      <c r="G106" s="1316">
        <f t="shared" si="18"/>
        <v>-20157878.341999996</v>
      </c>
      <c r="H106" s="1315">
        <v>-4377139.2971199993</v>
      </c>
      <c r="I106" s="1316">
        <f t="shared" si="19"/>
        <v>1531998.7539919997</v>
      </c>
      <c r="J106" s="1316">
        <f t="shared" si="20"/>
        <v>-23003018.885127999</v>
      </c>
      <c r="K106" s="1317"/>
      <c r="L106" s="1315">
        <v>-57593938.119999997</v>
      </c>
      <c r="M106" s="1316">
        <f t="shared" si="21"/>
        <v>-12094727.005199999</v>
      </c>
      <c r="N106" s="1315">
        <v>-4377139.2971199993</v>
      </c>
      <c r="O106" s="1316">
        <f t="shared" si="22"/>
        <v>919199.25239519984</v>
      </c>
      <c r="P106" s="1316">
        <f t="shared" si="23"/>
        <v>-15552667.049924798</v>
      </c>
      <c r="Q106" s="1318"/>
      <c r="R106" s="1316">
        <f t="shared" si="24"/>
        <v>-7450351.8352032006</v>
      </c>
      <c r="S106" s="1317"/>
      <c r="T106" s="1315">
        <v>0</v>
      </c>
      <c r="U106" s="1317"/>
      <c r="V106" s="1315">
        <v>0</v>
      </c>
      <c r="W106" s="1317"/>
      <c r="X106" s="1316">
        <f t="shared" si="25"/>
        <v>-7450351.8352032006</v>
      </c>
      <c r="Y106" s="1311"/>
      <c r="Z106" s="1312" t="s">
        <v>1776</v>
      </c>
      <c r="AA106" s="1313"/>
      <c r="AB106" s="1312" t="s">
        <v>37</v>
      </c>
      <c r="AC106" s="1313"/>
      <c r="AD106" s="1820">
        <v>0</v>
      </c>
      <c r="AE106" s="1313"/>
      <c r="AF106" s="1316">
        <f t="shared" si="26"/>
        <v>0</v>
      </c>
      <c r="AG106" s="1313"/>
      <c r="AH106" s="1307">
        <v>283</v>
      </c>
      <c r="AI106" s="1307"/>
    </row>
    <row r="107" spans="2:35" ht="14.5">
      <c r="B107" s="1307">
        <v>91</v>
      </c>
      <c r="C107" s="1308" t="s">
        <v>1857</v>
      </c>
      <c r="D107" s="1308" t="s">
        <v>374</v>
      </c>
      <c r="E107" s="1308" t="s">
        <v>1754</v>
      </c>
      <c r="F107" s="1315">
        <v>-10512194</v>
      </c>
      <c r="G107" s="1316">
        <f t="shared" si="18"/>
        <v>-3679267.9</v>
      </c>
      <c r="H107" s="1315">
        <v>-798926.74399999995</v>
      </c>
      <c r="I107" s="1316">
        <f t="shared" si="19"/>
        <v>279624.36039999995</v>
      </c>
      <c r="J107" s="1316">
        <f t="shared" si="20"/>
        <v>-4198570.2835999997</v>
      </c>
      <c r="K107" s="1317"/>
      <c r="L107" s="1315">
        <v>-10512194</v>
      </c>
      <c r="M107" s="1316">
        <f t="shared" si="21"/>
        <v>-2207560.7399999998</v>
      </c>
      <c r="N107" s="1315">
        <v>-798926.74399999995</v>
      </c>
      <c r="O107" s="1316">
        <f t="shared" si="22"/>
        <v>167774.61623999997</v>
      </c>
      <c r="P107" s="1316">
        <f t="shared" si="23"/>
        <v>-2838712.8677599998</v>
      </c>
      <c r="Q107" s="1318"/>
      <c r="R107" s="1316">
        <f t="shared" si="24"/>
        <v>-1359857.4158399999</v>
      </c>
      <c r="S107" s="1317"/>
      <c r="T107" s="1315">
        <v>0</v>
      </c>
      <c r="U107" s="1317"/>
      <c r="V107" s="1315">
        <v>0</v>
      </c>
      <c r="W107" s="1317"/>
      <c r="X107" s="1316">
        <f t="shared" si="25"/>
        <v>-1359857.4158399999</v>
      </c>
      <c r="Y107" s="1311"/>
      <c r="Z107" s="1312" t="s">
        <v>1756</v>
      </c>
      <c r="AA107" s="1313"/>
      <c r="AB107" s="1312" t="s">
        <v>37</v>
      </c>
      <c r="AC107" s="1313"/>
      <c r="AD107" s="1820">
        <v>0</v>
      </c>
      <c r="AE107" s="1313"/>
      <c r="AF107" s="1316">
        <f t="shared" si="26"/>
        <v>0</v>
      </c>
      <c r="AG107" s="1313"/>
      <c r="AH107" s="1307">
        <v>283</v>
      </c>
      <c r="AI107" s="1307"/>
    </row>
    <row r="108" spans="2:35" ht="14.5">
      <c r="B108" s="1307">
        <v>92</v>
      </c>
      <c r="C108" s="1308" t="s">
        <v>1858</v>
      </c>
      <c r="D108" s="1308" t="s">
        <v>374</v>
      </c>
      <c r="E108" s="1308" t="s">
        <v>1754</v>
      </c>
      <c r="F108" s="1315">
        <v>-11180183.609999999</v>
      </c>
      <c r="G108" s="1316">
        <f t="shared" si="18"/>
        <v>-3913064.2634999994</v>
      </c>
      <c r="H108" s="1315">
        <v>-849693.95435999997</v>
      </c>
      <c r="I108" s="1316">
        <f t="shared" si="19"/>
        <v>297392.88402599999</v>
      </c>
      <c r="J108" s="1316">
        <f t="shared" si="20"/>
        <v>-4465365.333833999</v>
      </c>
      <c r="K108" s="1317"/>
      <c r="L108" s="1315">
        <v>-11180183.609999999</v>
      </c>
      <c r="M108" s="1316">
        <f t="shared" si="21"/>
        <v>-2347838.5580999996</v>
      </c>
      <c r="N108" s="1315">
        <v>-849693.95435999997</v>
      </c>
      <c r="O108" s="1316">
        <f t="shared" si="22"/>
        <v>178435.73041559997</v>
      </c>
      <c r="P108" s="1316">
        <f t="shared" si="23"/>
        <v>-3019096.7820443995</v>
      </c>
      <c r="Q108" s="1318"/>
      <c r="R108" s="1316">
        <f t="shared" si="24"/>
        <v>-1446268.5517895995</v>
      </c>
      <c r="S108" s="1317"/>
      <c r="T108" s="1315">
        <v>0</v>
      </c>
      <c r="U108" s="1317"/>
      <c r="V108" s="1315">
        <v>0</v>
      </c>
      <c r="W108" s="1317"/>
      <c r="X108" s="1316">
        <f t="shared" si="25"/>
        <v>-1446268.5517895995</v>
      </c>
      <c r="Y108" s="1311"/>
      <c r="Z108" s="1312" t="s">
        <v>1776</v>
      </c>
      <c r="AA108" s="1313"/>
      <c r="AB108" s="1312" t="s">
        <v>37</v>
      </c>
      <c r="AC108" s="1313"/>
      <c r="AD108" s="1820">
        <v>0</v>
      </c>
      <c r="AE108" s="1313"/>
      <c r="AF108" s="1316">
        <f t="shared" si="26"/>
        <v>0</v>
      </c>
      <c r="AG108" s="1313"/>
      <c r="AH108" s="1307">
        <v>283</v>
      </c>
      <c r="AI108" s="1307"/>
    </row>
    <row r="109" spans="2:35" ht="14.5">
      <c r="B109" s="1307">
        <v>93</v>
      </c>
      <c r="C109" s="1308" t="s">
        <v>1859</v>
      </c>
      <c r="D109" s="1308" t="s">
        <v>374</v>
      </c>
      <c r="E109" s="1308" t="s">
        <v>1754</v>
      </c>
      <c r="F109" s="1315">
        <v>-190253766.69999999</v>
      </c>
      <c r="G109" s="1316">
        <f t="shared" si="18"/>
        <v>-66588818.344999991</v>
      </c>
      <c r="H109" s="1315">
        <v>-14459286.269199999</v>
      </c>
      <c r="I109" s="1316">
        <f t="shared" si="19"/>
        <v>5060750.194219999</v>
      </c>
      <c r="J109" s="1316">
        <f t="shared" si="20"/>
        <v>-75987354.41997999</v>
      </c>
      <c r="K109" s="1317"/>
      <c r="L109" s="1315">
        <v>-190253766.69999999</v>
      </c>
      <c r="M109" s="1316">
        <f t="shared" si="21"/>
        <v>-39953291.006999999</v>
      </c>
      <c r="N109" s="1315">
        <v>-14459286.269199999</v>
      </c>
      <c r="O109" s="1316">
        <f t="shared" si="22"/>
        <v>3036450.1165319998</v>
      </c>
      <c r="P109" s="1316">
        <f t="shared" si="23"/>
        <v>-51376127.159667999</v>
      </c>
      <c r="Q109" s="1318"/>
      <c r="R109" s="1316">
        <f t="shared" si="24"/>
        <v>-24611227.260311991</v>
      </c>
      <c r="S109" s="1317"/>
      <c r="T109" s="1315">
        <v>0</v>
      </c>
      <c r="U109" s="1317"/>
      <c r="V109" s="1315">
        <v>0</v>
      </c>
      <c r="W109" s="1317"/>
      <c r="X109" s="1316">
        <f t="shared" si="25"/>
        <v>-24611227.260311991</v>
      </c>
      <c r="Y109" s="1311"/>
      <c r="Z109" s="1312" t="s">
        <v>1756</v>
      </c>
      <c r="AA109" s="1313"/>
      <c r="AB109" s="1312" t="s">
        <v>37</v>
      </c>
      <c r="AC109" s="1313"/>
      <c r="AD109" s="1820">
        <v>0</v>
      </c>
      <c r="AE109" s="1313"/>
      <c r="AF109" s="1316">
        <f t="shared" si="26"/>
        <v>0</v>
      </c>
      <c r="AG109" s="1313"/>
      <c r="AH109" s="1307">
        <v>283</v>
      </c>
      <c r="AI109" s="1307"/>
    </row>
    <row r="110" spans="2:35" ht="14.5">
      <c r="B110" s="1307">
        <v>94</v>
      </c>
      <c r="C110" s="1308" t="s">
        <v>1860</v>
      </c>
      <c r="D110" s="1308" t="s">
        <v>374</v>
      </c>
      <c r="E110" s="1308" t="s">
        <v>1754</v>
      </c>
      <c r="F110" s="1315">
        <v>-1247198.99</v>
      </c>
      <c r="G110" s="1316">
        <f t="shared" si="18"/>
        <v>-436519.64649999997</v>
      </c>
      <c r="H110" s="1315">
        <v>-94787.123240000001</v>
      </c>
      <c r="I110" s="1316">
        <f t="shared" si="19"/>
        <v>33175.493133999997</v>
      </c>
      <c r="J110" s="1316">
        <f t="shared" si="20"/>
        <v>-498131.27660600003</v>
      </c>
      <c r="K110" s="1317"/>
      <c r="L110" s="1315">
        <v>-1247198.99</v>
      </c>
      <c r="M110" s="1316">
        <f t="shared" si="21"/>
        <v>-261911.7879</v>
      </c>
      <c r="N110" s="1315">
        <v>-94787.123240000001</v>
      </c>
      <c r="O110" s="1316">
        <f t="shared" si="22"/>
        <v>19905.295880400001</v>
      </c>
      <c r="P110" s="1316">
        <f t="shared" si="23"/>
        <v>-336793.61525959999</v>
      </c>
      <c r="Q110" s="1318"/>
      <c r="R110" s="1316">
        <f t="shared" si="24"/>
        <v>-161337.66134640004</v>
      </c>
      <c r="S110" s="1317"/>
      <c r="T110" s="1315">
        <v>0</v>
      </c>
      <c r="U110" s="1317"/>
      <c r="V110" s="1315">
        <v>0</v>
      </c>
      <c r="W110" s="1317"/>
      <c r="X110" s="1316">
        <f t="shared" si="25"/>
        <v>-161337.66134640004</v>
      </c>
      <c r="Y110" s="1311"/>
      <c r="Z110" s="1312" t="s">
        <v>1776</v>
      </c>
      <c r="AA110" s="1313"/>
      <c r="AB110" s="1312" t="s">
        <v>37</v>
      </c>
      <c r="AC110" s="1313"/>
      <c r="AD110" s="1820">
        <v>0</v>
      </c>
      <c r="AE110" s="1313"/>
      <c r="AF110" s="1316">
        <f t="shared" si="26"/>
        <v>0</v>
      </c>
      <c r="AG110" s="1313"/>
      <c r="AH110" s="1307">
        <v>283</v>
      </c>
      <c r="AI110" s="1307"/>
    </row>
    <row r="111" spans="2:35" ht="14.5">
      <c r="B111" s="1307">
        <v>95</v>
      </c>
      <c r="C111" s="1308" t="s">
        <v>1861</v>
      </c>
      <c r="D111" s="1308" t="s">
        <v>374</v>
      </c>
      <c r="E111" s="1308" t="s">
        <v>1754</v>
      </c>
      <c r="F111" s="1315">
        <v>-34604375.5</v>
      </c>
      <c r="G111" s="1316">
        <f t="shared" si="18"/>
        <v>-12111531.424999999</v>
      </c>
      <c r="H111" s="1315">
        <v>-2629932.5379999997</v>
      </c>
      <c r="I111" s="1316">
        <f t="shared" si="19"/>
        <v>920476.38829999988</v>
      </c>
      <c r="J111" s="1316">
        <f t="shared" si="20"/>
        <v>-13820987.5747</v>
      </c>
      <c r="K111" s="1317"/>
      <c r="L111" s="1315">
        <v>-34604375.5</v>
      </c>
      <c r="M111" s="1316">
        <f t="shared" si="21"/>
        <v>-7266918.8549999995</v>
      </c>
      <c r="N111" s="1315">
        <v>-2629932.5379999997</v>
      </c>
      <c r="O111" s="1316">
        <f t="shared" si="22"/>
        <v>552285.83297999995</v>
      </c>
      <c r="P111" s="1316">
        <f t="shared" si="23"/>
        <v>-9344565.5600199997</v>
      </c>
      <c r="Q111" s="1318"/>
      <c r="R111" s="1316">
        <f t="shared" si="24"/>
        <v>-4476422.01468</v>
      </c>
      <c r="S111" s="1317"/>
      <c r="T111" s="1315">
        <v>0</v>
      </c>
      <c r="U111" s="1317"/>
      <c r="V111" s="1315">
        <v>0</v>
      </c>
      <c r="W111" s="1317"/>
      <c r="X111" s="1316">
        <f t="shared" si="25"/>
        <v>-4476422.01468</v>
      </c>
      <c r="Y111" s="1311"/>
      <c r="Z111" s="1312" t="s">
        <v>346</v>
      </c>
      <c r="AA111" s="1313"/>
      <c r="AB111" s="1312" t="s">
        <v>36</v>
      </c>
      <c r="AC111" s="1313"/>
      <c r="AD111" s="1820">
        <v>0.10089999999999999</v>
      </c>
      <c r="AE111" s="1313"/>
      <c r="AF111" s="1316">
        <f t="shared" si="26"/>
        <v>-451670.98128121195</v>
      </c>
      <c r="AG111" s="1313"/>
      <c r="AH111" s="1307">
        <v>283</v>
      </c>
      <c r="AI111" s="1307"/>
    </row>
    <row r="112" spans="2:35" ht="14.5">
      <c r="B112" s="1307">
        <v>96</v>
      </c>
      <c r="C112" s="1308" t="s">
        <v>1862</v>
      </c>
      <c r="D112" s="1308" t="s">
        <v>374</v>
      </c>
      <c r="E112" s="1308" t="s">
        <v>1754</v>
      </c>
      <c r="F112" s="1315">
        <v>-2434560.29</v>
      </c>
      <c r="G112" s="1316">
        <f t="shared" si="18"/>
        <v>-852096.10149999999</v>
      </c>
      <c r="H112" s="1315">
        <v>-185026.58204000001</v>
      </c>
      <c r="I112" s="1316">
        <f t="shared" si="19"/>
        <v>64759.303714000001</v>
      </c>
      <c r="J112" s="1316">
        <f t="shared" si="20"/>
        <v>-972363.37982599996</v>
      </c>
      <c r="K112" s="1317"/>
      <c r="L112" s="1315">
        <v>-2434560.29</v>
      </c>
      <c r="M112" s="1316">
        <f t="shared" si="21"/>
        <v>-511257.66090000002</v>
      </c>
      <c r="N112" s="1315">
        <v>-185026.58204000001</v>
      </c>
      <c r="O112" s="1316">
        <f t="shared" si="22"/>
        <v>38855.582228400002</v>
      </c>
      <c r="P112" s="1316">
        <f t="shared" si="23"/>
        <v>-657428.66071159998</v>
      </c>
      <c r="Q112" s="1318"/>
      <c r="R112" s="1316">
        <f t="shared" si="24"/>
        <v>-314934.71911439998</v>
      </c>
      <c r="S112" s="1317"/>
      <c r="T112" s="1315">
        <v>0</v>
      </c>
      <c r="U112" s="1317"/>
      <c r="V112" s="1315">
        <v>0</v>
      </c>
      <c r="W112" s="1317"/>
      <c r="X112" s="1316">
        <f t="shared" si="25"/>
        <v>-314934.71911439998</v>
      </c>
      <c r="Y112" s="1311"/>
      <c r="Z112" s="1312" t="s">
        <v>1756</v>
      </c>
      <c r="AA112" s="1313"/>
      <c r="AB112" s="1312" t="s">
        <v>37</v>
      </c>
      <c r="AC112" s="1313"/>
      <c r="AD112" s="1820">
        <v>0</v>
      </c>
      <c r="AE112" s="1313"/>
      <c r="AF112" s="1316">
        <f t="shared" si="26"/>
        <v>0</v>
      </c>
      <c r="AG112" s="1313"/>
      <c r="AH112" s="1307">
        <v>283</v>
      </c>
      <c r="AI112" s="1307"/>
    </row>
    <row r="113" spans="2:35" ht="14.5">
      <c r="B113" s="1307">
        <v>97</v>
      </c>
      <c r="C113" s="1308" t="s">
        <v>1863</v>
      </c>
      <c r="D113" s="1308" t="s">
        <v>374</v>
      </c>
      <c r="E113" s="1308" t="s">
        <v>1754</v>
      </c>
      <c r="F113" s="1315">
        <v>-69912828.629999995</v>
      </c>
      <c r="G113" s="1316">
        <f t="shared" si="18"/>
        <v>-24469490.020499997</v>
      </c>
      <c r="H113" s="1315">
        <v>-5313374.9758799998</v>
      </c>
      <c r="I113" s="1316">
        <f t="shared" si="19"/>
        <v>1859681.2415579997</v>
      </c>
      <c r="J113" s="1316">
        <f t="shared" si="20"/>
        <v>-27923183.754821997</v>
      </c>
      <c r="K113" s="1317"/>
      <c r="L113" s="1315">
        <v>-69912828.629999995</v>
      </c>
      <c r="M113" s="1316">
        <f t="shared" si="21"/>
        <v>-14681694.012299998</v>
      </c>
      <c r="N113" s="1315">
        <v>-5313374.9758799998</v>
      </c>
      <c r="O113" s="1316">
        <f t="shared" si="22"/>
        <v>1115808.7449347998</v>
      </c>
      <c r="P113" s="1316">
        <f t="shared" si="23"/>
        <v>-18879260.243245196</v>
      </c>
      <c r="Q113" s="1318"/>
      <c r="R113" s="1316">
        <f t="shared" si="24"/>
        <v>-9043923.5115768015</v>
      </c>
      <c r="S113" s="1317"/>
      <c r="T113" s="1315">
        <v>0</v>
      </c>
      <c r="U113" s="1317"/>
      <c r="V113" s="1315">
        <v>0</v>
      </c>
      <c r="W113" s="1317"/>
      <c r="X113" s="1316">
        <f t="shared" si="25"/>
        <v>-9043923.5115768015</v>
      </c>
      <c r="Y113" s="1311"/>
      <c r="Z113" s="1312" t="s">
        <v>1776</v>
      </c>
      <c r="AA113" s="1313"/>
      <c r="AB113" s="1312" t="s">
        <v>37</v>
      </c>
      <c r="AC113" s="1313"/>
      <c r="AD113" s="1820">
        <v>0</v>
      </c>
      <c r="AE113" s="1313"/>
      <c r="AF113" s="1316">
        <f t="shared" si="26"/>
        <v>0</v>
      </c>
      <c r="AG113" s="1313"/>
      <c r="AH113" s="1307">
        <v>283</v>
      </c>
      <c r="AI113" s="1307"/>
    </row>
    <row r="114" spans="2:35" ht="14.5">
      <c r="B114" s="1307">
        <v>98</v>
      </c>
      <c r="C114" s="1308" t="s">
        <v>1864</v>
      </c>
      <c r="D114" s="1308" t="s">
        <v>374</v>
      </c>
      <c r="E114" s="1308" t="s">
        <v>1754</v>
      </c>
      <c r="F114" s="1315">
        <v>-440137.28</v>
      </c>
      <c r="G114" s="1316">
        <f t="shared" si="18"/>
        <v>-154048.04800000001</v>
      </c>
      <c r="H114" s="1315">
        <v>-33450.433280000005</v>
      </c>
      <c r="I114" s="1316">
        <f t="shared" si="19"/>
        <v>11707.651648000001</v>
      </c>
      <c r="J114" s="1316">
        <f t="shared" si="20"/>
        <v>-175790.82963200001</v>
      </c>
      <c r="K114" s="1317"/>
      <c r="L114" s="1315">
        <v>-440137.28</v>
      </c>
      <c r="M114" s="1316">
        <f t="shared" si="21"/>
        <v>-92428.828800000003</v>
      </c>
      <c r="N114" s="1315">
        <v>-33450.433280000005</v>
      </c>
      <c r="O114" s="1316">
        <f t="shared" si="22"/>
        <v>7024.5909888000006</v>
      </c>
      <c r="P114" s="1316">
        <f t="shared" si="23"/>
        <v>-118854.67109120001</v>
      </c>
      <c r="Q114" s="1318"/>
      <c r="R114" s="1316">
        <f t="shared" si="24"/>
        <v>-56936.158540799996</v>
      </c>
      <c r="S114" s="1317"/>
      <c r="T114" s="1315">
        <v>0</v>
      </c>
      <c r="U114" s="1317"/>
      <c r="V114" s="1315">
        <v>0</v>
      </c>
      <c r="W114" s="1317"/>
      <c r="X114" s="1316">
        <f t="shared" si="25"/>
        <v>-56936.158540799996</v>
      </c>
      <c r="Y114" s="1311"/>
      <c r="Z114" s="1312" t="s">
        <v>1756</v>
      </c>
      <c r="AA114" s="1313"/>
      <c r="AB114" s="1312" t="s">
        <v>37</v>
      </c>
      <c r="AC114" s="1313"/>
      <c r="AD114" s="1820">
        <v>0</v>
      </c>
      <c r="AE114" s="1313"/>
      <c r="AF114" s="1316">
        <f t="shared" si="26"/>
        <v>0</v>
      </c>
      <c r="AG114" s="1313"/>
      <c r="AH114" s="1307">
        <v>283</v>
      </c>
      <c r="AI114" s="1307"/>
    </row>
    <row r="115" spans="2:35" ht="14.5">
      <c r="B115" s="1307">
        <v>99</v>
      </c>
      <c r="C115" s="1308" t="s">
        <v>1865</v>
      </c>
      <c r="D115" s="1308" t="s">
        <v>375</v>
      </c>
      <c r="E115" s="1308" t="s">
        <v>1754</v>
      </c>
      <c r="F115" s="1315">
        <v>-329586333.88999999</v>
      </c>
      <c r="G115" s="1316">
        <f t="shared" si="18"/>
        <v>-115355216.86149999</v>
      </c>
      <c r="H115" s="1315">
        <v>-25048561.375639997</v>
      </c>
      <c r="I115" s="1316">
        <f t="shared" si="19"/>
        <v>8766996.4814739991</v>
      </c>
      <c r="J115" s="1316">
        <f t="shared" si="20"/>
        <v>-131636781.755666</v>
      </c>
      <c r="K115" s="1317"/>
      <c r="L115" s="1315">
        <v>-329586333.88999999</v>
      </c>
      <c r="M115" s="1316">
        <f t="shared" si="21"/>
        <v>-69213130.116899997</v>
      </c>
      <c r="N115" s="1315">
        <v>-25048561.375639997</v>
      </c>
      <c r="O115" s="1316">
        <f t="shared" si="22"/>
        <v>5260197.8888843991</v>
      </c>
      <c r="P115" s="1316">
        <f t="shared" si="23"/>
        <v>-89001493.603655607</v>
      </c>
      <c r="Q115" s="1318"/>
      <c r="R115" s="1316">
        <f t="shared" si="24"/>
        <v>-42635288.152010396</v>
      </c>
      <c r="S115" s="1317"/>
      <c r="T115" s="1315">
        <v>0</v>
      </c>
      <c r="U115" s="1317"/>
      <c r="V115" s="1315">
        <v>0</v>
      </c>
      <c r="W115" s="1317"/>
      <c r="X115" s="1316">
        <f t="shared" si="25"/>
        <v>-42635288.152010396</v>
      </c>
      <c r="Y115" s="1311"/>
      <c r="Z115" s="1312" t="s">
        <v>346</v>
      </c>
      <c r="AA115" s="1313"/>
      <c r="AB115" s="1312" t="s">
        <v>36</v>
      </c>
      <c r="AC115" s="1313"/>
      <c r="AD115" s="1820">
        <v>0.10089999999999999</v>
      </c>
      <c r="AE115" s="1313"/>
      <c r="AF115" s="1316">
        <f t="shared" si="26"/>
        <v>-4301900.5745378481</v>
      </c>
      <c r="AG115" s="1313"/>
      <c r="AH115" s="1307">
        <v>283</v>
      </c>
      <c r="AI115" s="1307"/>
    </row>
    <row r="116" spans="2:35" ht="14.5">
      <c r="B116" s="1307">
        <v>100</v>
      </c>
      <c r="C116" s="1319" t="s">
        <v>1866</v>
      </c>
      <c r="D116" s="1312"/>
      <c r="E116" s="1312"/>
      <c r="F116" s="1320">
        <f>SUM(F95:F115)</f>
        <v>-1036663459.7199999</v>
      </c>
      <c r="G116" s="1320">
        <f>SUM(G95:G115)</f>
        <v>-362832210.90200001</v>
      </c>
      <c r="H116" s="1320">
        <f>SUM(H95:H115)</f>
        <v>-78786422.938719988</v>
      </c>
      <c r="I116" s="1320">
        <f>SUM(I95:I115)</f>
        <v>27575248.028551996</v>
      </c>
      <c r="J116" s="1320">
        <f>SUM(J95:J115)</f>
        <v>-414043385.81216794</v>
      </c>
      <c r="K116" s="1311"/>
      <c r="L116" s="1320">
        <f>SUM(L95:L115)</f>
        <v>-1036663459.7199999</v>
      </c>
      <c r="M116" s="1320">
        <f>SUM(M95:M115)</f>
        <v>-217699326.54119998</v>
      </c>
      <c r="N116" s="1320">
        <f>SUM(N95:N115)</f>
        <v>-78786422.938719988</v>
      </c>
      <c r="O116" s="1320">
        <f>SUM(O95:O115)</f>
        <v>16545148.817131197</v>
      </c>
      <c r="P116" s="1320">
        <f>SUM(P95:P115)</f>
        <v>-279940600.66278875</v>
      </c>
      <c r="R116" s="1320">
        <f>SUM(R95:R115)</f>
        <v>-134102785.14937918</v>
      </c>
      <c r="S116" s="1311"/>
      <c r="T116" s="1320">
        <f>SUM(T95:T115)</f>
        <v>0</v>
      </c>
      <c r="U116" s="1311"/>
      <c r="V116" s="1320">
        <f>SUM(V95:V115)</f>
        <v>0</v>
      </c>
      <c r="W116" s="1311"/>
      <c r="X116" s="1320">
        <f>SUM(X95:X115)</f>
        <v>-134102785.14937918</v>
      </c>
      <c r="Y116" s="1311"/>
      <c r="Z116" s="1312"/>
      <c r="AA116" s="1313"/>
      <c r="AB116" s="1312"/>
      <c r="AC116" s="1313"/>
      <c r="AD116" s="1313"/>
      <c r="AE116" s="1313"/>
      <c r="AF116" s="1320">
        <f>SUM(AF95:AF115)</f>
        <v>-5706709.5142091112</v>
      </c>
      <c r="AG116" s="1313"/>
      <c r="AH116" s="1307"/>
      <c r="AI116" s="1307"/>
    </row>
    <row r="117" spans="2:35" ht="14.5">
      <c r="B117" s="1307"/>
      <c r="D117" s="1321"/>
      <c r="F117" s="1310"/>
      <c r="G117" s="1310"/>
      <c r="H117" s="1310"/>
      <c r="I117" s="1310"/>
      <c r="J117" s="1310"/>
      <c r="K117" s="1313"/>
      <c r="P117" s="1310"/>
      <c r="R117" s="1310"/>
      <c r="S117" s="1313"/>
      <c r="T117" s="1310"/>
      <c r="U117" s="1313"/>
      <c r="V117" s="1310"/>
      <c r="W117" s="1313"/>
      <c r="X117" s="1310"/>
      <c r="Y117" s="1313"/>
      <c r="AA117" s="1313"/>
      <c r="AC117" s="1313"/>
      <c r="AD117" s="1313"/>
      <c r="AE117" s="1313"/>
      <c r="AF117" s="1310"/>
      <c r="AG117" s="1313"/>
      <c r="AH117" s="1322"/>
      <c r="AI117" s="1322"/>
    </row>
    <row r="118" spans="2:35" ht="15" thickBot="1">
      <c r="B118" s="1307">
        <v>101</v>
      </c>
      <c r="C118" s="1319" t="s">
        <v>1867</v>
      </c>
      <c r="D118" s="1321"/>
      <c r="E118" s="1323"/>
      <c r="F118" s="1324">
        <f>F72+F92+F116</f>
        <v>-5284777245.6403494</v>
      </c>
      <c r="G118" s="1324">
        <f>G72+G92+G116</f>
        <v>-1849672035.974122</v>
      </c>
      <c r="H118" s="1324">
        <f>H72+H92+H116</f>
        <v>-267996734.67178869</v>
      </c>
      <c r="I118" s="1324">
        <f>I72+I92+I116</f>
        <v>93798857.135126054</v>
      </c>
      <c r="J118" s="1324">
        <f>J72+J92+J116</f>
        <v>-2023869913.5107849</v>
      </c>
      <c r="K118" s="1313"/>
      <c r="L118" s="1324">
        <f>L72+L92+L116</f>
        <v>-4311014896.0905018</v>
      </c>
      <c r="M118" s="1324">
        <f>M72+M92+M116</f>
        <v>-905313128.17900515</v>
      </c>
      <c r="N118" s="1324">
        <f>N72+N92+N116</f>
        <v>-193990796.1060003</v>
      </c>
      <c r="O118" s="1324">
        <f>O72+O92+O116</f>
        <v>40738067.182260051</v>
      </c>
      <c r="P118" s="1324">
        <f>P72+P92+P116</f>
        <v>-1058565857.1027457</v>
      </c>
      <c r="R118" s="1324">
        <f>R72+R92+R116</f>
        <v>-965304056.40803909</v>
      </c>
      <c r="S118" s="1313"/>
      <c r="T118" s="1324">
        <f>T72+T92+T116</f>
        <v>8458293.1418080255</v>
      </c>
      <c r="U118" s="1313"/>
      <c r="V118" s="1324">
        <f>V72+V92+V116</f>
        <v>-322393958.26902413</v>
      </c>
      <c r="W118" s="1313"/>
      <c r="X118" s="1324">
        <f>X72+X92+X116</f>
        <v>-651368391.28082287</v>
      </c>
      <c r="Y118" s="1313"/>
      <c r="Z118" s="1323"/>
      <c r="AA118" s="1313"/>
      <c r="AB118" s="1323"/>
      <c r="AC118" s="1313"/>
      <c r="AD118" s="1313"/>
      <c r="AE118" s="1313"/>
      <c r="AF118" s="1324">
        <f>AF72+AF92+AF116</f>
        <v>-105599257.90314858</v>
      </c>
      <c r="AG118" s="1313"/>
      <c r="AH118" s="1322"/>
      <c r="AI118" s="1322"/>
    </row>
    <row r="119" spans="2:35" ht="15.75" customHeight="1" thickTop="1">
      <c r="F119" s="1310"/>
      <c r="G119" s="1310"/>
      <c r="H119" s="1310"/>
      <c r="I119" s="1310"/>
    </row>
    <row r="120" spans="2:35" ht="15.75" customHeight="1">
      <c r="F120" s="1310"/>
      <c r="G120" s="1310"/>
      <c r="H120" s="1310"/>
      <c r="I120" s="1310"/>
    </row>
    <row r="121" spans="2:35" ht="14">
      <c r="F121" s="1310"/>
      <c r="G121" s="1310"/>
      <c r="H121" s="1310"/>
      <c r="I121" s="1310"/>
      <c r="V121" s="1325" t="s">
        <v>1679</v>
      </c>
      <c r="X121" s="1326">
        <f>SUMIF($E:$E,$V$121,X:X)</f>
        <v>-317879734.83290344</v>
      </c>
      <c r="AF121" s="1326">
        <f>SUMIF($E:$E,$V$121,AF:AF)</f>
        <v>-55056770.073058888</v>
      </c>
    </row>
    <row r="122" spans="2:35" ht="15.75" customHeight="1">
      <c r="B122" s="1323"/>
      <c r="V122" s="1327"/>
      <c r="X122" s="1328"/>
      <c r="AF122" s="1328"/>
    </row>
    <row r="123" spans="2:35" ht="14">
      <c r="V123" s="1325" t="s">
        <v>1677</v>
      </c>
      <c r="X123" s="1328">
        <f>SUMIF($E:$E,$V$123,X:X)</f>
        <v>-244793683.69822931</v>
      </c>
      <c r="AF123" s="1328">
        <f>SUMIF($E:$E,$V$123,AF:AF)</f>
        <v>-46126850.647198208</v>
      </c>
    </row>
    <row r="124" spans="2:35" ht="15.75" customHeight="1">
      <c r="V124" s="1325" t="s">
        <v>1754</v>
      </c>
      <c r="X124" s="1328">
        <f>SUMIF($E:$E,$V$124,X:X)</f>
        <v>-88694972.749690294</v>
      </c>
      <c r="AF124" s="1328">
        <f>SUMIF($E:$E,$V$124,AF:AF)</f>
        <v>-4415637.1828915067</v>
      </c>
    </row>
    <row r="125" spans="2:35" ht="5.15" customHeight="1">
      <c r="V125" s="945"/>
      <c r="X125" s="1328"/>
      <c r="AF125" s="1328"/>
    </row>
    <row r="126" spans="2:35" ht="15.75" customHeight="1">
      <c r="V126" s="1329" t="s">
        <v>1868</v>
      </c>
      <c r="X126" s="1330">
        <f>SUM(X123:X125)</f>
        <v>-333488656.44791961</v>
      </c>
      <c r="AF126" s="1330">
        <f>SUM(AF123:AF125)</f>
        <v>-50542487.830089718</v>
      </c>
    </row>
    <row r="127" spans="2:35" ht="14">
      <c r="V127" s="1327"/>
      <c r="X127" s="1328"/>
      <c r="AF127" s="1328"/>
    </row>
    <row r="128" spans="2:35" ht="15.75" customHeight="1" thickBot="1">
      <c r="B128" s="1331"/>
      <c r="V128" s="1329" t="s">
        <v>1869</v>
      </c>
      <c r="X128" s="1332">
        <f>X121+X126</f>
        <v>-651368391.28082299</v>
      </c>
      <c r="AF128" s="1332">
        <f>AF121+AF126</f>
        <v>-105599257.90314861</v>
      </c>
    </row>
    <row r="129" spans="1:35" ht="15.75" customHeight="1" thickTop="1">
      <c r="B129" s="1331"/>
      <c r="V129" s="1329"/>
      <c r="X129" s="1316"/>
      <c r="AF129" s="1316"/>
    </row>
    <row r="130" spans="1:35" ht="15.75" customHeight="1">
      <c r="A130" s="885"/>
      <c r="B130" s="885" t="s">
        <v>1704</v>
      </c>
      <c r="C130" s="885"/>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row>
    <row r="131" spans="1:35">
      <c r="B131" s="1333"/>
      <c r="C131" s="1333"/>
      <c r="D131" s="1333"/>
      <c r="Z131" s="1290"/>
      <c r="AB131" s="1290"/>
      <c r="AH131" s="1290"/>
      <c r="AI131" s="1290"/>
    </row>
    <row r="132" spans="1:35" ht="15.75" customHeight="1">
      <c r="B132" s="1867" t="s">
        <v>1870</v>
      </c>
      <c r="C132" s="1867"/>
      <c r="D132" s="1867"/>
      <c r="V132" s="1334"/>
      <c r="X132" s="1335"/>
      <c r="AF132" s="1335"/>
      <c r="AH132" s="1290"/>
      <c r="AI132" s="1292"/>
    </row>
    <row r="133" spans="1:35" ht="15.75" customHeight="1">
      <c r="B133" s="1867"/>
      <c r="C133" s="1867"/>
      <c r="D133" s="1867"/>
      <c r="V133" s="1334"/>
      <c r="X133" s="1335"/>
      <c r="AF133" s="1335"/>
      <c r="AH133" s="1290"/>
      <c r="AI133" s="1292"/>
    </row>
    <row r="134" spans="1:35" ht="15.75" customHeight="1">
      <c r="B134" s="1867"/>
      <c r="C134" s="1867"/>
      <c r="D134" s="1867"/>
      <c r="V134" s="1334"/>
      <c r="X134" s="1335"/>
      <c r="AF134" s="1335"/>
      <c r="AH134" s="1290"/>
      <c r="AI134" s="1292"/>
    </row>
    <row r="135" spans="1:35" ht="15.75" customHeight="1">
      <c r="B135" s="1867"/>
      <c r="C135" s="1867"/>
      <c r="D135" s="1867"/>
      <c r="V135" s="1334"/>
      <c r="X135" s="1335"/>
      <c r="AF135" s="1335"/>
      <c r="AH135" s="1290"/>
      <c r="AI135" s="1292"/>
    </row>
    <row r="136" spans="1:35" ht="15.75" customHeight="1">
      <c r="B136" s="1867"/>
      <c r="C136" s="1867"/>
      <c r="D136" s="1867"/>
      <c r="V136" s="1334"/>
      <c r="X136" s="1335"/>
      <c r="AF136" s="1335"/>
      <c r="AH136" s="1290"/>
      <c r="AI136" s="1292"/>
    </row>
    <row r="137" spans="1:35" ht="15.75" customHeight="1">
      <c r="B137" s="1867"/>
      <c r="C137" s="1867"/>
      <c r="D137" s="1867"/>
      <c r="V137" s="1334"/>
      <c r="X137" s="1335"/>
      <c r="AF137" s="1335"/>
      <c r="AH137" s="1290"/>
      <c r="AI137" s="1292"/>
    </row>
    <row r="138" spans="1:35" ht="15.75" customHeight="1">
      <c r="B138" s="1867"/>
      <c r="C138" s="1867"/>
      <c r="D138" s="1867"/>
      <c r="V138" s="1334"/>
      <c r="X138" s="1335"/>
      <c r="AF138" s="1335"/>
      <c r="AH138" s="1290"/>
      <c r="AI138" s="1292"/>
    </row>
    <row r="139" spans="1:35" ht="15.75" customHeight="1">
      <c r="B139" s="1867"/>
      <c r="C139" s="1867"/>
      <c r="D139" s="1867"/>
      <c r="V139" s="1334"/>
      <c r="X139" s="1335"/>
      <c r="AF139" s="1335"/>
      <c r="AH139" s="1290"/>
      <c r="AI139" s="1292"/>
    </row>
    <row r="140" spans="1:35" ht="15.75" customHeight="1">
      <c r="B140" s="1867"/>
      <c r="C140" s="1867"/>
      <c r="D140" s="1867"/>
      <c r="V140" s="1334"/>
      <c r="X140" s="1335"/>
      <c r="AF140" s="1335"/>
      <c r="AH140" s="1290"/>
      <c r="AI140" s="1292"/>
    </row>
    <row r="141" spans="1:35" ht="15.75" customHeight="1">
      <c r="B141" s="1867"/>
      <c r="C141" s="1867"/>
      <c r="D141" s="1867"/>
      <c r="V141" s="1334"/>
      <c r="X141" s="1335"/>
      <c r="AF141" s="1335"/>
      <c r="AH141" s="1290"/>
      <c r="AI141" s="1292"/>
    </row>
    <row r="142" spans="1:35" ht="15.75" customHeight="1">
      <c r="B142" s="1867"/>
      <c r="C142" s="1867"/>
      <c r="D142" s="1867"/>
      <c r="V142" s="1334"/>
      <c r="X142" s="1335"/>
      <c r="AF142" s="1335"/>
      <c r="AH142" s="1290"/>
      <c r="AI142" s="1292"/>
    </row>
    <row r="143" spans="1:35" ht="12.75" customHeight="1">
      <c r="B143" s="1851" t="s">
        <v>1871</v>
      </c>
      <c r="C143" s="1851"/>
      <c r="D143" s="1851"/>
      <c r="E143" s="1336"/>
      <c r="F143" s="1336"/>
      <c r="G143" s="1336"/>
      <c r="H143" s="1336"/>
      <c r="I143" s="1336"/>
      <c r="J143" s="1336"/>
      <c r="K143" s="1336"/>
      <c r="L143" s="1336"/>
      <c r="M143" s="1336"/>
      <c r="N143" s="1336"/>
      <c r="O143" s="1336"/>
      <c r="Z143" s="1290"/>
      <c r="AB143" s="1290"/>
      <c r="AH143" s="1290"/>
      <c r="AI143" s="1290"/>
    </row>
    <row r="144" spans="1:35">
      <c r="B144" s="1851"/>
      <c r="C144" s="1851"/>
      <c r="D144" s="1851"/>
      <c r="E144" s="1336"/>
      <c r="F144" s="1336"/>
      <c r="G144" s="1336"/>
      <c r="H144" s="1336"/>
      <c r="I144" s="1336"/>
      <c r="J144" s="1336"/>
      <c r="K144" s="1336"/>
      <c r="L144" s="1336"/>
      <c r="M144" s="1336"/>
      <c r="N144" s="1336"/>
      <c r="O144" s="1336"/>
    </row>
    <row r="145" spans="1:35">
      <c r="B145" s="1851"/>
      <c r="C145" s="1851"/>
      <c r="D145" s="1851"/>
      <c r="E145" s="1336"/>
      <c r="F145" s="1336"/>
      <c r="G145" s="1336"/>
      <c r="H145" s="1336"/>
      <c r="I145" s="1336"/>
      <c r="J145" s="1336"/>
      <c r="K145" s="1336"/>
      <c r="L145" s="1336"/>
      <c r="M145" s="1336"/>
      <c r="N145" s="1336"/>
      <c r="O145" s="1336"/>
    </row>
    <row r="146" spans="1:35" ht="12.75" customHeight="1">
      <c r="B146" s="1851" t="s">
        <v>1872</v>
      </c>
      <c r="C146" s="1851"/>
      <c r="D146" s="1851"/>
      <c r="E146" s="1336"/>
      <c r="F146" s="1336"/>
      <c r="G146" s="1336"/>
      <c r="H146" s="1336"/>
      <c r="I146" s="1336"/>
      <c r="J146" s="1336"/>
      <c r="K146" s="1336"/>
      <c r="L146" s="1336"/>
      <c r="M146" s="1336"/>
      <c r="N146" s="1336"/>
      <c r="O146" s="1336"/>
    </row>
    <row r="147" spans="1:35">
      <c r="B147" s="1851"/>
      <c r="C147" s="1851"/>
      <c r="D147" s="1851"/>
      <c r="E147" s="1336"/>
      <c r="F147" s="1336"/>
      <c r="G147" s="1336"/>
      <c r="H147" s="1336"/>
      <c r="I147" s="1336"/>
      <c r="J147" s="1336"/>
      <c r="K147" s="1336"/>
      <c r="L147" s="1336"/>
      <c r="M147" s="1336"/>
      <c r="N147" s="1336"/>
      <c r="O147" s="1336"/>
    </row>
    <row r="148" spans="1:35">
      <c r="B148" s="1333"/>
      <c r="C148" s="1333"/>
      <c r="D148" s="1333"/>
    </row>
    <row r="149" spans="1:35" ht="15.75" customHeight="1">
      <c r="A149" s="885"/>
      <c r="B149" s="885" t="s">
        <v>1078</v>
      </c>
      <c r="C149" s="885"/>
      <c r="D149" s="885"/>
      <c r="E149" s="885"/>
      <c r="F149" s="885"/>
      <c r="G149" s="885"/>
      <c r="H149" s="885"/>
      <c r="I149" s="885"/>
      <c r="J149" s="885"/>
      <c r="K149" s="885"/>
      <c r="L149" s="885"/>
      <c r="M149" s="885"/>
      <c r="N149" s="885"/>
      <c r="O149" s="885"/>
      <c r="P149" s="885"/>
      <c r="Q149" s="885"/>
      <c r="R149" s="885"/>
      <c r="S149" s="885"/>
      <c r="T149" s="885"/>
      <c r="U149" s="885"/>
      <c r="V149" s="885"/>
      <c r="W149" s="885"/>
      <c r="X149" s="885"/>
      <c r="Y149" s="885"/>
      <c r="Z149" s="885"/>
      <c r="AA149" s="885"/>
      <c r="AB149" s="885"/>
      <c r="AC149" s="885"/>
      <c r="AD149" s="885"/>
      <c r="AE149" s="885"/>
      <c r="AF149" s="885"/>
      <c r="AG149" s="885"/>
      <c r="AH149" s="885"/>
      <c r="AI149" s="885"/>
    </row>
    <row r="150" spans="1:35">
      <c r="B150" s="1333"/>
      <c r="C150" s="1333"/>
      <c r="D150" s="1333"/>
    </row>
    <row r="151" spans="1:35" ht="15.75" customHeight="1">
      <c r="B151" s="1337" t="s">
        <v>9</v>
      </c>
      <c r="C151" s="1866" t="s">
        <v>1873</v>
      </c>
      <c r="D151" s="1866"/>
      <c r="X151" s="1338"/>
    </row>
    <row r="152" spans="1:35" ht="15.75" customHeight="1">
      <c r="B152" s="1337"/>
      <c r="C152" s="1866"/>
      <c r="D152" s="1866"/>
      <c r="X152" s="1338"/>
    </row>
    <row r="153" spans="1:35" ht="15.75" customHeight="1">
      <c r="B153" s="1337"/>
      <c r="C153" s="1866"/>
      <c r="D153" s="1866"/>
      <c r="X153" s="1338"/>
    </row>
    <row r="154" spans="1:35">
      <c r="B154" s="1333"/>
      <c r="C154" s="1866"/>
      <c r="D154" s="1866"/>
    </row>
    <row r="155" spans="1:35" ht="15.75" customHeight="1">
      <c r="B155" s="1339" t="s">
        <v>10</v>
      </c>
      <c r="C155" s="1867" t="s">
        <v>1874</v>
      </c>
      <c r="D155" s="1867"/>
    </row>
    <row r="156" spans="1:35">
      <c r="C156" s="1867"/>
      <c r="D156" s="1867"/>
    </row>
    <row r="157" spans="1:35" ht="15.75" customHeight="1">
      <c r="C157" s="1292" t="s">
        <v>101</v>
      </c>
    </row>
    <row r="159" spans="1:35" ht="15.75" customHeight="1">
      <c r="A159" s="1248" t="s">
        <v>597</v>
      </c>
      <c r="B159" s="1248"/>
      <c r="C159" s="1249"/>
      <c r="D159" s="169"/>
      <c r="E159" s="169"/>
      <c r="F159" s="563"/>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row>
    <row r="161" spans="6:162" ht="15.75" customHeight="1"/>
    <row r="163" spans="6:162" ht="15.75" customHeight="1"/>
    <row r="165" spans="6:162" ht="15.75" customHeight="1"/>
    <row r="167" spans="6:162" s="1292" customFormat="1" ht="15.75" customHeight="1">
      <c r="F167" s="1290"/>
      <c r="G167" s="1290"/>
      <c r="H167" s="1290"/>
      <c r="I167" s="1290"/>
      <c r="J167" s="1290"/>
      <c r="K167" s="1290"/>
      <c r="L167" s="1290"/>
      <c r="M167" s="1290"/>
      <c r="N167" s="1290"/>
      <c r="O167" s="1290"/>
      <c r="P167" s="1290"/>
      <c r="Q167" s="1290"/>
      <c r="R167" s="1290"/>
      <c r="S167" s="1290"/>
      <c r="T167" s="1290"/>
      <c r="U167" s="1290"/>
      <c r="V167" s="1290"/>
      <c r="W167" s="1290"/>
      <c r="X167" s="1290"/>
      <c r="Y167" s="1290"/>
      <c r="AA167" s="1290"/>
      <c r="AC167" s="1290"/>
      <c r="AD167" s="1290"/>
      <c r="AE167" s="1290"/>
      <c r="AF167" s="1290"/>
      <c r="AG167" s="1290"/>
      <c r="AH167" s="1291"/>
      <c r="AI167" s="1291"/>
      <c r="AJ167" s="1290"/>
      <c r="AK167" s="1290"/>
      <c r="AL167" s="1290"/>
      <c r="AM167" s="1290"/>
      <c r="AN167" s="1290"/>
      <c r="AO167" s="1290"/>
      <c r="AP167" s="1290"/>
      <c r="AQ167" s="1290"/>
      <c r="AR167" s="1290"/>
      <c r="AS167" s="1290"/>
      <c r="AT167" s="1290"/>
      <c r="AU167" s="1290"/>
      <c r="AV167" s="1290"/>
      <c r="AW167" s="1290"/>
      <c r="AX167" s="1290"/>
      <c r="AY167" s="1290"/>
      <c r="AZ167" s="1290"/>
      <c r="BA167" s="1290"/>
      <c r="BB167" s="1290"/>
      <c r="BC167" s="1290"/>
      <c r="BD167" s="1290"/>
      <c r="BE167" s="1290"/>
      <c r="BF167" s="1290"/>
      <c r="BG167" s="1290"/>
      <c r="BH167" s="1290"/>
      <c r="BI167" s="1290"/>
      <c r="BJ167" s="1290"/>
      <c r="BK167" s="1290"/>
      <c r="BL167" s="1290"/>
      <c r="BM167" s="1290"/>
      <c r="BN167" s="1290"/>
      <c r="BO167" s="1290"/>
      <c r="BP167" s="1290"/>
      <c r="BQ167" s="1290"/>
      <c r="BR167" s="1290"/>
      <c r="BS167" s="1290"/>
      <c r="BT167" s="1290"/>
      <c r="BU167" s="1290"/>
      <c r="BV167" s="1290"/>
      <c r="BW167" s="1290"/>
      <c r="BX167" s="1290"/>
      <c r="BY167" s="1290"/>
      <c r="BZ167" s="1290"/>
      <c r="CA167" s="1290"/>
      <c r="CB167" s="1290"/>
      <c r="CC167" s="1290"/>
      <c r="CD167" s="1290"/>
      <c r="CE167" s="1290"/>
      <c r="CF167" s="1290"/>
      <c r="CG167" s="1290"/>
      <c r="CH167" s="1290"/>
      <c r="CI167" s="1290"/>
      <c r="CJ167" s="1290"/>
      <c r="CK167" s="1290"/>
      <c r="CL167" s="1290"/>
      <c r="CM167" s="1290"/>
      <c r="CN167" s="1290"/>
      <c r="CO167" s="1290"/>
      <c r="CP167" s="1290"/>
      <c r="CQ167" s="1290"/>
      <c r="CR167" s="1290"/>
      <c r="CS167" s="1290"/>
      <c r="CT167" s="1290"/>
      <c r="CU167" s="1290"/>
      <c r="CV167" s="1290"/>
      <c r="CW167" s="1290"/>
      <c r="CX167" s="1290"/>
      <c r="CY167" s="1290"/>
      <c r="CZ167" s="1290"/>
      <c r="DA167" s="1290"/>
      <c r="DB167" s="1290"/>
      <c r="DC167" s="1290"/>
      <c r="DD167" s="1290"/>
      <c r="DE167" s="1290"/>
      <c r="DF167" s="1290"/>
      <c r="DG167" s="1290"/>
      <c r="DH167" s="1290"/>
      <c r="DI167" s="1290"/>
      <c r="DJ167" s="1290"/>
      <c r="DK167" s="1290"/>
      <c r="DL167" s="1290"/>
      <c r="DM167" s="1290"/>
      <c r="DN167" s="1290"/>
      <c r="DO167" s="1290"/>
      <c r="DP167" s="1290"/>
      <c r="DQ167" s="1290"/>
      <c r="DR167" s="1290"/>
      <c r="DS167" s="1290"/>
      <c r="DT167" s="1290"/>
      <c r="DU167" s="1290"/>
      <c r="DV167" s="1290"/>
      <c r="DW167" s="1290"/>
      <c r="DX167" s="1290"/>
      <c r="DY167" s="1290"/>
      <c r="DZ167" s="1290"/>
      <c r="EA167" s="1290"/>
      <c r="EB167" s="1290"/>
      <c r="EC167" s="1290"/>
      <c r="ED167" s="1290"/>
      <c r="EE167" s="1290"/>
      <c r="EF167" s="1290"/>
      <c r="EG167" s="1290"/>
      <c r="EH167" s="1290"/>
      <c r="EI167" s="1290"/>
      <c r="EJ167" s="1290"/>
      <c r="EK167" s="1290"/>
      <c r="EL167" s="1290"/>
      <c r="EM167" s="1290"/>
      <c r="EN167" s="1290"/>
      <c r="EO167" s="1290"/>
      <c r="EP167" s="1290"/>
      <c r="EQ167" s="1290"/>
      <c r="ER167" s="1290"/>
      <c r="ES167" s="1290"/>
      <c r="ET167" s="1290"/>
      <c r="EU167" s="1290"/>
      <c r="EV167" s="1290"/>
      <c r="EW167" s="1290"/>
      <c r="EX167" s="1290"/>
      <c r="EY167" s="1290"/>
      <c r="EZ167" s="1290"/>
      <c r="FA167" s="1290"/>
      <c r="FB167" s="1290"/>
      <c r="FC167" s="1290"/>
      <c r="FD167" s="1290"/>
      <c r="FE167" s="1290"/>
      <c r="FF167" s="1290"/>
    </row>
    <row r="169" spans="6:162" s="1292" customFormat="1" ht="15.75" customHeight="1">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AA169" s="1290"/>
      <c r="AC169" s="1290"/>
      <c r="AD169" s="1290"/>
      <c r="AE169" s="1290"/>
      <c r="AF169" s="1290"/>
      <c r="AG169" s="1290"/>
      <c r="AH169" s="1291"/>
      <c r="AI169" s="1291"/>
      <c r="AJ169" s="1290"/>
      <c r="AK169" s="1290"/>
      <c r="AL169" s="1290"/>
      <c r="AM169" s="1290"/>
      <c r="AN169" s="1290"/>
      <c r="AO169" s="1290"/>
      <c r="AP169" s="1290"/>
      <c r="AQ169" s="1290"/>
      <c r="AR169" s="1290"/>
      <c r="AS169" s="1290"/>
      <c r="AT169" s="1290"/>
      <c r="AU169" s="1290"/>
      <c r="AV169" s="1290"/>
      <c r="AW169" s="1290"/>
      <c r="AX169" s="1290"/>
      <c r="AY169" s="1290"/>
      <c r="AZ169" s="1290"/>
      <c r="BA169" s="1290"/>
      <c r="BB169" s="1290"/>
      <c r="BC169" s="1290"/>
      <c r="BD169" s="1290"/>
      <c r="BE169" s="1290"/>
      <c r="BF169" s="1290"/>
      <c r="BG169" s="1290"/>
      <c r="BH169" s="1290"/>
      <c r="BI169" s="1290"/>
      <c r="BJ169" s="1290"/>
      <c r="BK169" s="1290"/>
      <c r="BL169" s="1290"/>
      <c r="BM169" s="1290"/>
      <c r="BN169" s="1290"/>
      <c r="BO169" s="1290"/>
      <c r="BP169" s="1290"/>
      <c r="BQ169" s="1290"/>
      <c r="BR169" s="1290"/>
      <c r="BS169" s="1290"/>
      <c r="BT169" s="1290"/>
      <c r="BU169" s="1290"/>
      <c r="BV169" s="1290"/>
      <c r="BW169" s="1290"/>
      <c r="BX169" s="1290"/>
      <c r="BY169" s="1290"/>
      <c r="BZ169" s="1290"/>
      <c r="CA169" s="1290"/>
      <c r="CB169" s="1290"/>
      <c r="CC169" s="1290"/>
      <c r="CD169" s="1290"/>
      <c r="CE169" s="1290"/>
      <c r="CF169" s="1290"/>
      <c r="CG169" s="1290"/>
      <c r="CH169" s="1290"/>
      <c r="CI169" s="1290"/>
      <c r="CJ169" s="1290"/>
      <c r="CK169" s="1290"/>
      <c r="CL169" s="1290"/>
      <c r="CM169" s="1290"/>
      <c r="CN169" s="1290"/>
      <c r="CO169" s="1290"/>
      <c r="CP169" s="1290"/>
      <c r="CQ169" s="1290"/>
      <c r="CR169" s="1290"/>
      <c r="CS169" s="1290"/>
      <c r="CT169" s="1290"/>
      <c r="CU169" s="1290"/>
      <c r="CV169" s="1290"/>
      <c r="CW169" s="1290"/>
      <c r="CX169" s="1290"/>
      <c r="CY169" s="1290"/>
      <c r="CZ169" s="1290"/>
      <c r="DA169" s="1290"/>
      <c r="DB169" s="1290"/>
      <c r="DC169" s="1290"/>
      <c r="DD169" s="1290"/>
      <c r="DE169" s="1290"/>
      <c r="DF169" s="1290"/>
      <c r="DG169" s="1290"/>
      <c r="DH169" s="1290"/>
      <c r="DI169" s="1290"/>
      <c r="DJ169" s="1290"/>
      <c r="DK169" s="1290"/>
      <c r="DL169" s="1290"/>
      <c r="DM169" s="1290"/>
      <c r="DN169" s="1290"/>
      <c r="DO169" s="1290"/>
      <c r="DP169" s="1290"/>
      <c r="DQ169" s="1290"/>
      <c r="DR169" s="1290"/>
      <c r="DS169" s="1290"/>
      <c r="DT169" s="1290"/>
      <c r="DU169" s="1290"/>
      <c r="DV169" s="1290"/>
      <c r="DW169" s="1290"/>
      <c r="DX169" s="1290"/>
      <c r="DY169" s="1290"/>
      <c r="DZ169" s="1290"/>
      <c r="EA169" s="1290"/>
      <c r="EB169" s="1290"/>
      <c r="EC169" s="1290"/>
      <c r="ED169" s="1290"/>
      <c r="EE169" s="1290"/>
      <c r="EF169" s="1290"/>
      <c r="EG169" s="1290"/>
      <c r="EH169" s="1290"/>
      <c r="EI169" s="1290"/>
      <c r="EJ169" s="1290"/>
      <c r="EK169" s="1290"/>
      <c r="EL169" s="1290"/>
      <c r="EM169" s="1290"/>
      <c r="EN169" s="1290"/>
      <c r="EO169" s="1290"/>
      <c r="EP169" s="1290"/>
      <c r="EQ169" s="1290"/>
      <c r="ER169" s="1290"/>
      <c r="ES169" s="1290"/>
      <c r="ET169" s="1290"/>
      <c r="EU169" s="1290"/>
      <c r="EV169" s="1290"/>
      <c r="EW169" s="1290"/>
      <c r="EX169" s="1290"/>
      <c r="EY169" s="1290"/>
      <c r="EZ169" s="1290"/>
      <c r="FA169" s="1290"/>
      <c r="FB169" s="1290"/>
      <c r="FC169" s="1290"/>
      <c r="FD169" s="1290"/>
      <c r="FE169" s="1290"/>
      <c r="FF169" s="1290"/>
    </row>
    <row r="171" spans="6:162" s="1292" customFormat="1" ht="15.75" customHeight="1">
      <c r="F171" s="1290"/>
      <c r="G171" s="1290"/>
      <c r="H171" s="1290"/>
      <c r="I171" s="1290"/>
      <c r="J171" s="1290"/>
      <c r="K171" s="1290"/>
      <c r="L171" s="1290"/>
      <c r="M171" s="1290"/>
      <c r="N171" s="1290"/>
      <c r="O171" s="1290"/>
      <c r="P171" s="1290"/>
      <c r="Q171" s="1290"/>
      <c r="R171" s="1290"/>
      <c r="S171" s="1290"/>
      <c r="T171" s="1290"/>
      <c r="U171" s="1290"/>
      <c r="V171" s="1290"/>
      <c r="W171" s="1290"/>
      <c r="X171" s="1290"/>
      <c r="Y171" s="1290"/>
      <c r="AA171" s="1290"/>
      <c r="AC171" s="1290"/>
      <c r="AD171" s="1290"/>
      <c r="AE171" s="1290"/>
      <c r="AF171" s="1290"/>
      <c r="AG171" s="1290"/>
      <c r="AH171" s="1291"/>
      <c r="AI171" s="1291"/>
      <c r="AJ171" s="1290"/>
      <c r="AK171" s="1290"/>
      <c r="AL171" s="1290"/>
      <c r="AM171" s="1290"/>
      <c r="AN171" s="1290"/>
      <c r="AO171" s="1290"/>
      <c r="AP171" s="1290"/>
      <c r="AQ171" s="1290"/>
      <c r="AR171" s="1290"/>
      <c r="AS171" s="1290"/>
      <c r="AT171" s="1290"/>
      <c r="AU171" s="1290"/>
      <c r="AV171" s="1290"/>
      <c r="AW171" s="1290"/>
      <c r="AX171" s="1290"/>
      <c r="AY171" s="1290"/>
      <c r="AZ171" s="1290"/>
      <c r="BA171" s="1290"/>
      <c r="BB171" s="1290"/>
      <c r="BC171" s="1290"/>
      <c r="BD171" s="1290"/>
      <c r="BE171" s="1290"/>
      <c r="BF171" s="1290"/>
      <c r="BG171" s="1290"/>
      <c r="BH171" s="1290"/>
      <c r="BI171" s="1290"/>
      <c r="BJ171" s="1290"/>
      <c r="BK171" s="1290"/>
      <c r="BL171" s="1290"/>
      <c r="BM171" s="1290"/>
      <c r="BN171" s="1290"/>
      <c r="BO171" s="1290"/>
      <c r="BP171" s="1290"/>
      <c r="BQ171" s="1290"/>
      <c r="BR171" s="1290"/>
      <c r="BS171" s="1290"/>
      <c r="BT171" s="1290"/>
      <c r="BU171" s="1290"/>
      <c r="BV171" s="1290"/>
      <c r="BW171" s="1290"/>
      <c r="BX171" s="1290"/>
      <c r="BY171" s="1290"/>
      <c r="BZ171" s="1290"/>
      <c r="CA171" s="1290"/>
      <c r="CB171" s="1290"/>
      <c r="CC171" s="1290"/>
      <c r="CD171" s="1290"/>
      <c r="CE171" s="1290"/>
      <c r="CF171" s="1290"/>
      <c r="CG171" s="1290"/>
      <c r="CH171" s="1290"/>
      <c r="CI171" s="1290"/>
      <c r="CJ171" s="1290"/>
      <c r="CK171" s="1290"/>
      <c r="CL171" s="1290"/>
      <c r="CM171" s="1290"/>
      <c r="CN171" s="1290"/>
      <c r="CO171" s="1290"/>
      <c r="CP171" s="1290"/>
      <c r="CQ171" s="1290"/>
      <c r="CR171" s="1290"/>
      <c r="CS171" s="1290"/>
      <c r="CT171" s="1290"/>
      <c r="CU171" s="1290"/>
      <c r="CV171" s="1290"/>
      <c r="CW171" s="1290"/>
      <c r="CX171" s="1290"/>
      <c r="CY171" s="1290"/>
      <c r="CZ171" s="1290"/>
      <c r="DA171" s="1290"/>
      <c r="DB171" s="1290"/>
      <c r="DC171" s="1290"/>
      <c r="DD171" s="1290"/>
      <c r="DE171" s="1290"/>
      <c r="DF171" s="1290"/>
      <c r="DG171" s="1290"/>
      <c r="DH171" s="1290"/>
      <c r="DI171" s="1290"/>
      <c r="DJ171" s="1290"/>
      <c r="DK171" s="1290"/>
      <c r="DL171" s="1290"/>
      <c r="DM171" s="1290"/>
      <c r="DN171" s="1290"/>
      <c r="DO171" s="1290"/>
      <c r="DP171" s="1290"/>
      <c r="DQ171" s="1290"/>
      <c r="DR171" s="1290"/>
      <c r="DS171" s="1290"/>
      <c r="DT171" s="1290"/>
      <c r="DU171" s="1290"/>
      <c r="DV171" s="1290"/>
      <c r="DW171" s="1290"/>
      <c r="DX171" s="1290"/>
      <c r="DY171" s="1290"/>
      <c r="DZ171" s="1290"/>
      <c r="EA171" s="1290"/>
      <c r="EB171" s="1290"/>
      <c r="EC171" s="1290"/>
      <c r="ED171" s="1290"/>
      <c r="EE171" s="1290"/>
      <c r="EF171" s="1290"/>
      <c r="EG171" s="1290"/>
      <c r="EH171" s="1290"/>
      <c r="EI171" s="1290"/>
      <c r="EJ171" s="1290"/>
      <c r="EK171" s="1290"/>
      <c r="EL171" s="1290"/>
      <c r="EM171" s="1290"/>
      <c r="EN171" s="1290"/>
      <c r="EO171" s="1290"/>
      <c r="EP171" s="1290"/>
      <c r="EQ171" s="1290"/>
      <c r="ER171" s="1290"/>
      <c r="ES171" s="1290"/>
      <c r="ET171" s="1290"/>
      <c r="EU171" s="1290"/>
      <c r="EV171" s="1290"/>
      <c r="EW171" s="1290"/>
      <c r="EX171" s="1290"/>
      <c r="EY171" s="1290"/>
      <c r="EZ171" s="1290"/>
      <c r="FA171" s="1290"/>
      <c r="FB171" s="1290"/>
      <c r="FC171" s="1290"/>
      <c r="FD171" s="1290"/>
      <c r="FE171" s="1290"/>
      <c r="FF171" s="1290"/>
    </row>
    <row r="173" spans="6:162" s="1292" customFormat="1" ht="15.75" customHeight="1">
      <c r="F173" s="1290"/>
      <c r="G173" s="1290"/>
      <c r="H173" s="1290"/>
      <c r="I173" s="1290"/>
      <c r="J173" s="1290"/>
      <c r="K173" s="1290"/>
      <c r="L173" s="1290"/>
      <c r="M173" s="1290"/>
      <c r="N173" s="1290"/>
      <c r="O173" s="1290"/>
      <c r="P173" s="1290"/>
      <c r="Q173" s="1290"/>
      <c r="R173" s="1290"/>
      <c r="S173" s="1290"/>
      <c r="T173" s="1290"/>
      <c r="U173" s="1290"/>
      <c r="V173" s="1290"/>
      <c r="W173" s="1290"/>
      <c r="X173" s="1290"/>
      <c r="Y173" s="1290"/>
      <c r="AA173" s="1290"/>
      <c r="AC173" s="1290"/>
      <c r="AD173" s="1290"/>
      <c r="AE173" s="1290"/>
      <c r="AF173" s="1290"/>
      <c r="AG173" s="1290"/>
      <c r="AH173" s="1291"/>
      <c r="AI173" s="1291"/>
      <c r="AJ173" s="1290"/>
      <c r="AK173" s="1290"/>
      <c r="AL173" s="1290"/>
      <c r="AM173" s="1290"/>
      <c r="AN173" s="1290"/>
      <c r="AO173" s="1290"/>
      <c r="AP173" s="1290"/>
      <c r="AQ173" s="1290"/>
      <c r="AR173" s="1290"/>
      <c r="AS173" s="1290"/>
      <c r="AT173" s="1290"/>
      <c r="AU173" s="1290"/>
      <c r="AV173" s="1290"/>
      <c r="AW173" s="1290"/>
      <c r="AX173" s="1290"/>
      <c r="AY173" s="1290"/>
      <c r="AZ173" s="1290"/>
      <c r="BA173" s="1290"/>
      <c r="BB173" s="1290"/>
      <c r="BC173" s="1290"/>
      <c r="BD173" s="1290"/>
      <c r="BE173" s="1290"/>
      <c r="BF173" s="1290"/>
      <c r="BG173" s="1290"/>
      <c r="BH173" s="1290"/>
      <c r="BI173" s="1290"/>
      <c r="BJ173" s="1290"/>
      <c r="BK173" s="1290"/>
      <c r="BL173" s="1290"/>
      <c r="BM173" s="1290"/>
      <c r="BN173" s="1290"/>
      <c r="BO173" s="1290"/>
      <c r="BP173" s="1290"/>
      <c r="BQ173" s="1290"/>
      <c r="BR173" s="1290"/>
      <c r="BS173" s="1290"/>
      <c r="BT173" s="1290"/>
      <c r="BU173" s="1290"/>
      <c r="BV173" s="1290"/>
      <c r="BW173" s="1290"/>
      <c r="BX173" s="1290"/>
      <c r="BY173" s="1290"/>
      <c r="BZ173" s="1290"/>
      <c r="CA173" s="1290"/>
      <c r="CB173" s="1290"/>
      <c r="CC173" s="1290"/>
      <c r="CD173" s="1290"/>
      <c r="CE173" s="1290"/>
      <c r="CF173" s="1290"/>
      <c r="CG173" s="1290"/>
      <c r="CH173" s="1290"/>
      <c r="CI173" s="1290"/>
      <c r="CJ173" s="1290"/>
      <c r="CK173" s="1290"/>
      <c r="CL173" s="1290"/>
      <c r="CM173" s="1290"/>
      <c r="CN173" s="1290"/>
      <c r="CO173" s="1290"/>
      <c r="CP173" s="1290"/>
      <c r="CQ173" s="1290"/>
      <c r="CR173" s="1290"/>
      <c r="CS173" s="1290"/>
      <c r="CT173" s="1290"/>
      <c r="CU173" s="1290"/>
      <c r="CV173" s="1290"/>
      <c r="CW173" s="1290"/>
      <c r="CX173" s="1290"/>
      <c r="CY173" s="1290"/>
      <c r="CZ173" s="1290"/>
      <c r="DA173" s="1290"/>
      <c r="DB173" s="1290"/>
      <c r="DC173" s="1290"/>
      <c r="DD173" s="1290"/>
      <c r="DE173" s="1290"/>
      <c r="DF173" s="1290"/>
      <c r="DG173" s="1290"/>
      <c r="DH173" s="1290"/>
      <c r="DI173" s="1290"/>
      <c r="DJ173" s="1290"/>
      <c r="DK173" s="1290"/>
      <c r="DL173" s="1290"/>
      <c r="DM173" s="1290"/>
      <c r="DN173" s="1290"/>
      <c r="DO173" s="1290"/>
      <c r="DP173" s="1290"/>
      <c r="DQ173" s="1290"/>
      <c r="DR173" s="1290"/>
      <c r="DS173" s="1290"/>
      <c r="DT173" s="1290"/>
      <c r="DU173" s="1290"/>
      <c r="DV173" s="1290"/>
      <c r="DW173" s="1290"/>
      <c r="DX173" s="1290"/>
      <c r="DY173" s="1290"/>
      <c r="DZ173" s="1290"/>
      <c r="EA173" s="1290"/>
      <c r="EB173" s="1290"/>
      <c r="EC173" s="1290"/>
      <c r="ED173" s="1290"/>
      <c r="EE173" s="1290"/>
      <c r="EF173" s="1290"/>
      <c r="EG173" s="1290"/>
      <c r="EH173" s="1290"/>
      <c r="EI173" s="1290"/>
      <c r="EJ173" s="1290"/>
      <c r="EK173" s="1290"/>
      <c r="EL173" s="1290"/>
      <c r="EM173" s="1290"/>
      <c r="EN173" s="1290"/>
      <c r="EO173" s="1290"/>
      <c r="EP173" s="1290"/>
      <c r="EQ173" s="1290"/>
      <c r="ER173" s="1290"/>
      <c r="ES173" s="1290"/>
      <c r="ET173" s="1290"/>
      <c r="EU173" s="1290"/>
      <c r="EV173" s="1290"/>
      <c r="EW173" s="1290"/>
      <c r="EX173" s="1290"/>
      <c r="EY173" s="1290"/>
      <c r="EZ173" s="1290"/>
      <c r="FA173" s="1290"/>
      <c r="FB173" s="1290"/>
      <c r="FC173" s="1290"/>
      <c r="FD173" s="1290"/>
      <c r="FE173" s="1290"/>
      <c r="FF173" s="1290"/>
    </row>
    <row r="175" spans="6:162" s="1292" customFormat="1" ht="15.75" customHeight="1">
      <c r="F175" s="1290"/>
      <c r="G175" s="1290"/>
      <c r="H175" s="1290"/>
      <c r="I175" s="1290"/>
      <c r="J175" s="1290"/>
      <c r="K175" s="1290"/>
      <c r="L175" s="1290"/>
      <c r="M175" s="1290"/>
      <c r="N175" s="1290"/>
      <c r="O175" s="1290"/>
      <c r="P175" s="1290"/>
      <c r="Q175" s="1290"/>
      <c r="R175" s="1290"/>
      <c r="S175" s="1290"/>
      <c r="T175" s="1290"/>
      <c r="U175" s="1290"/>
      <c r="V175" s="1290"/>
      <c r="W175" s="1290"/>
      <c r="X175" s="1290"/>
      <c r="Y175" s="1290"/>
      <c r="AA175" s="1290"/>
      <c r="AC175" s="1290"/>
      <c r="AD175" s="1290"/>
      <c r="AE175" s="1290"/>
      <c r="AF175" s="1290"/>
      <c r="AG175" s="1290"/>
      <c r="AH175" s="1291"/>
      <c r="AI175" s="1291"/>
      <c r="AJ175" s="1290"/>
      <c r="AK175" s="1290"/>
      <c r="AL175" s="1290"/>
      <c r="AM175" s="1290"/>
      <c r="AN175" s="1290"/>
      <c r="AO175" s="1290"/>
      <c r="AP175" s="1290"/>
      <c r="AQ175" s="1290"/>
      <c r="AR175" s="1290"/>
      <c r="AS175" s="1290"/>
      <c r="AT175" s="1290"/>
      <c r="AU175" s="1290"/>
      <c r="AV175" s="1290"/>
      <c r="AW175" s="1290"/>
      <c r="AX175" s="1290"/>
      <c r="AY175" s="1290"/>
      <c r="AZ175" s="1290"/>
      <c r="BA175" s="1290"/>
      <c r="BB175" s="1290"/>
      <c r="BC175" s="1290"/>
      <c r="BD175" s="1290"/>
      <c r="BE175" s="1290"/>
      <c r="BF175" s="1290"/>
      <c r="BG175" s="1290"/>
      <c r="BH175" s="1290"/>
      <c r="BI175" s="1290"/>
      <c r="BJ175" s="1290"/>
      <c r="BK175" s="1290"/>
      <c r="BL175" s="1290"/>
      <c r="BM175" s="1290"/>
      <c r="BN175" s="1290"/>
      <c r="BO175" s="1290"/>
      <c r="BP175" s="1290"/>
      <c r="BQ175" s="1290"/>
      <c r="BR175" s="1290"/>
      <c r="BS175" s="1290"/>
      <c r="BT175" s="1290"/>
      <c r="BU175" s="1290"/>
      <c r="BV175" s="1290"/>
      <c r="BW175" s="1290"/>
      <c r="BX175" s="1290"/>
      <c r="BY175" s="1290"/>
      <c r="BZ175" s="1290"/>
      <c r="CA175" s="1290"/>
      <c r="CB175" s="1290"/>
      <c r="CC175" s="1290"/>
      <c r="CD175" s="1290"/>
      <c r="CE175" s="1290"/>
      <c r="CF175" s="1290"/>
      <c r="CG175" s="1290"/>
      <c r="CH175" s="1290"/>
      <c r="CI175" s="1290"/>
      <c r="CJ175" s="1290"/>
      <c r="CK175" s="1290"/>
      <c r="CL175" s="1290"/>
      <c r="CM175" s="1290"/>
      <c r="CN175" s="1290"/>
      <c r="CO175" s="1290"/>
      <c r="CP175" s="1290"/>
      <c r="CQ175" s="1290"/>
      <c r="CR175" s="1290"/>
      <c r="CS175" s="1290"/>
      <c r="CT175" s="1290"/>
      <c r="CU175" s="1290"/>
      <c r="CV175" s="1290"/>
      <c r="CW175" s="1290"/>
      <c r="CX175" s="1290"/>
      <c r="CY175" s="1290"/>
      <c r="CZ175" s="1290"/>
      <c r="DA175" s="1290"/>
      <c r="DB175" s="1290"/>
      <c r="DC175" s="1290"/>
      <c r="DD175" s="1290"/>
      <c r="DE175" s="1290"/>
      <c r="DF175" s="1290"/>
      <c r="DG175" s="1290"/>
      <c r="DH175" s="1290"/>
      <c r="DI175" s="1290"/>
      <c r="DJ175" s="1290"/>
      <c r="DK175" s="1290"/>
      <c r="DL175" s="1290"/>
      <c r="DM175" s="1290"/>
      <c r="DN175" s="1290"/>
      <c r="DO175" s="1290"/>
      <c r="DP175" s="1290"/>
      <c r="DQ175" s="1290"/>
      <c r="DR175" s="1290"/>
      <c r="DS175" s="1290"/>
      <c r="DT175" s="1290"/>
      <c r="DU175" s="1290"/>
      <c r="DV175" s="1290"/>
      <c r="DW175" s="1290"/>
      <c r="DX175" s="1290"/>
      <c r="DY175" s="1290"/>
      <c r="DZ175" s="1290"/>
      <c r="EA175" s="1290"/>
      <c r="EB175" s="1290"/>
      <c r="EC175" s="1290"/>
      <c r="ED175" s="1290"/>
      <c r="EE175" s="1290"/>
      <c r="EF175" s="1290"/>
      <c r="EG175" s="1290"/>
      <c r="EH175" s="1290"/>
      <c r="EI175" s="1290"/>
      <c r="EJ175" s="1290"/>
      <c r="EK175" s="1290"/>
      <c r="EL175" s="1290"/>
      <c r="EM175" s="1290"/>
      <c r="EN175" s="1290"/>
      <c r="EO175" s="1290"/>
      <c r="EP175" s="1290"/>
      <c r="EQ175" s="1290"/>
      <c r="ER175" s="1290"/>
      <c r="ES175" s="1290"/>
      <c r="ET175" s="1290"/>
      <c r="EU175" s="1290"/>
      <c r="EV175" s="1290"/>
      <c r="EW175" s="1290"/>
      <c r="EX175" s="1290"/>
      <c r="EY175" s="1290"/>
      <c r="EZ175" s="1290"/>
      <c r="FA175" s="1290"/>
      <c r="FB175" s="1290"/>
      <c r="FC175" s="1290"/>
      <c r="FD175" s="1290"/>
      <c r="FE175" s="1290"/>
      <c r="FF175" s="1290"/>
    </row>
    <row r="177" spans="6:162" s="1292" customFormat="1" ht="15.75" customHeight="1">
      <c r="F177" s="1290"/>
      <c r="G177" s="1290"/>
      <c r="H177" s="1290"/>
      <c r="I177" s="1290"/>
      <c r="J177" s="1290"/>
      <c r="K177" s="1290"/>
      <c r="L177" s="1290"/>
      <c r="M177" s="1290"/>
      <c r="N177" s="1290"/>
      <c r="O177" s="1290"/>
      <c r="P177" s="1290"/>
      <c r="Q177" s="1290"/>
      <c r="R177" s="1290"/>
      <c r="S177" s="1290"/>
      <c r="T177" s="1290"/>
      <c r="U177" s="1290"/>
      <c r="V177" s="1290"/>
      <c r="W177" s="1290"/>
      <c r="X177" s="1290"/>
      <c r="Y177" s="1290"/>
      <c r="AA177" s="1290"/>
      <c r="AC177" s="1290"/>
      <c r="AD177" s="1290"/>
      <c r="AE177" s="1290"/>
      <c r="AF177" s="1290"/>
      <c r="AG177" s="1290"/>
      <c r="AH177" s="1291"/>
      <c r="AI177" s="1291"/>
      <c r="AJ177" s="1290"/>
      <c r="AK177" s="1290"/>
      <c r="AL177" s="1290"/>
      <c r="AM177" s="1290"/>
      <c r="AN177" s="1290"/>
      <c r="AO177" s="1290"/>
      <c r="AP177" s="1290"/>
      <c r="AQ177" s="1290"/>
      <c r="AR177" s="1290"/>
      <c r="AS177" s="1290"/>
      <c r="AT177" s="1290"/>
      <c r="AU177" s="1290"/>
      <c r="AV177" s="1290"/>
      <c r="AW177" s="1290"/>
      <c r="AX177" s="1290"/>
      <c r="AY177" s="1290"/>
      <c r="AZ177" s="1290"/>
      <c r="BA177" s="1290"/>
      <c r="BB177" s="1290"/>
      <c r="BC177" s="1290"/>
      <c r="BD177" s="1290"/>
      <c r="BE177" s="1290"/>
      <c r="BF177" s="1290"/>
      <c r="BG177" s="1290"/>
      <c r="BH177" s="1290"/>
      <c r="BI177" s="1290"/>
      <c r="BJ177" s="1290"/>
      <c r="BK177" s="1290"/>
      <c r="BL177" s="1290"/>
      <c r="BM177" s="1290"/>
      <c r="BN177" s="1290"/>
      <c r="BO177" s="1290"/>
      <c r="BP177" s="1290"/>
      <c r="BQ177" s="1290"/>
      <c r="BR177" s="1290"/>
      <c r="BS177" s="1290"/>
      <c r="BT177" s="1290"/>
      <c r="BU177" s="1290"/>
      <c r="BV177" s="1290"/>
      <c r="BW177" s="1290"/>
      <c r="BX177" s="1290"/>
      <c r="BY177" s="1290"/>
      <c r="BZ177" s="1290"/>
      <c r="CA177" s="1290"/>
      <c r="CB177" s="1290"/>
      <c r="CC177" s="1290"/>
      <c r="CD177" s="1290"/>
      <c r="CE177" s="1290"/>
      <c r="CF177" s="1290"/>
      <c r="CG177" s="1290"/>
      <c r="CH177" s="1290"/>
      <c r="CI177" s="1290"/>
      <c r="CJ177" s="1290"/>
      <c r="CK177" s="1290"/>
      <c r="CL177" s="1290"/>
      <c r="CM177" s="1290"/>
      <c r="CN177" s="1290"/>
      <c r="CO177" s="1290"/>
      <c r="CP177" s="1290"/>
      <c r="CQ177" s="1290"/>
      <c r="CR177" s="1290"/>
      <c r="CS177" s="1290"/>
      <c r="CT177" s="1290"/>
      <c r="CU177" s="1290"/>
      <c r="CV177" s="1290"/>
      <c r="CW177" s="1290"/>
      <c r="CX177" s="1290"/>
      <c r="CY177" s="1290"/>
      <c r="CZ177" s="1290"/>
      <c r="DA177" s="1290"/>
      <c r="DB177" s="1290"/>
      <c r="DC177" s="1290"/>
      <c r="DD177" s="1290"/>
      <c r="DE177" s="1290"/>
      <c r="DF177" s="1290"/>
      <c r="DG177" s="1290"/>
      <c r="DH177" s="1290"/>
      <c r="DI177" s="1290"/>
      <c r="DJ177" s="1290"/>
      <c r="DK177" s="1290"/>
      <c r="DL177" s="1290"/>
      <c r="DM177" s="1290"/>
      <c r="DN177" s="1290"/>
      <c r="DO177" s="1290"/>
      <c r="DP177" s="1290"/>
      <c r="DQ177" s="1290"/>
      <c r="DR177" s="1290"/>
      <c r="DS177" s="1290"/>
      <c r="DT177" s="1290"/>
      <c r="DU177" s="1290"/>
      <c r="DV177" s="1290"/>
      <c r="DW177" s="1290"/>
      <c r="DX177" s="1290"/>
      <c r="DY177" s="1290"/>
      <c r="DZ177" s="1290"/>
      <c r="EA177" s="1290"/>
      <c r="EB177" s="1290"/>
      <c r="EC177" s="1290"/>
      <c r="ED177" s="1290"/>
      <c r="EE177" s="1290"/>
      <c r="EF177" s="1290"/>
      <c r="EG177" s="1290"/>
      <c r="EH177" s="1290"/>
      <c r="EI177" s="1290"/>
      <c r="EJ177" s="1290"/>
      <c r="EK177" s="1290"/>
      <c r="EL177" s="1290"/>
      <c r="EM177" s="1290"/>
      <c r="EN177" s="1290"/>
      <c r="EO177" s="1290"/>
      <c r="EP177" s="1290"/>
      <c r="EQ177" s="1290"/>
      <c r="ER177" s="1290"/>
      <c r="ES177" s="1290"/>
      <c r="ET177" s="1290"/>
      <c r="EU177" s="1290"/>
      <c r="EV177" s="1290"/>
      <c r="EW177" s="1290"/>
      <c r="EX177" s="1290"/>
      <c r="EY177" s="1290"/>
      <c r="EZ177" s="1290"/>
      <c r="FA177" s="1290"/>
      <c r="FB177" s="1290"/>
      <c r="FC177" s="1290"/>
      <c r="FD177" s="1290"/>
      <c r="FE177" s="1290"/>
      <c r="FF177" s="1290"/>
    </row>
    <row r="179" spans="6:162" s="1292" customFormat="1" ht="15.75" customHeight="1">
      <c r="F179" s="1290"/>
      <c r="G179" s="1290"/>
      <c r="H179" s="1290"/>
      <c r="I179" s="1290"/>
      <c r="J179" s="1290"/>
      <c r="K179" s="1290"/>
      <c r="L179" s="1290"/>
      <c r="M179" s="1290"/>
      <c r="N179" s="1290"/>
      <c r="O179" s="1290"/>
      <c r="P179" s="1290"/>
      <c r="Q179" s="1290"/>
      <c r="R179" s="1290"/>
      <c r="S179" s="1290"/>
      <c r="T179" s="1290"/>
      <c r="U179" s="1290"/>
      <c r="V179" s="1290"/>
      <c r="W179" s="1290"/>
      <c r="X179" s="1290"/>
      <c r="Y179" s="1290"/>
      <c r="AA179" s="1290"/>
      <c r="AC179" s="1290"/>
      <c r="AD179" s="1290"/>
      <c r="AE179" s="1290"/>
      <c r="AF179" s="1290"/>
      <c r="AG179" s="1290"/>
      <c r="AH179" s="1291"/>
      <c r="AI179" s="1291"/>
      <c r="AJ179" s="1290"/>
      <c r="AK179" s="1290"/>
      <c r="AL179" s="1290"/>
      <c r="AM179" s="1290"/>
      <c r="AN179" s="1290"/>
      <c r="AO179" s="1290"/>
      <c r="AP179" s="1290"/>
      <c r="AQ179" s="1290"/>
      <c r="AR179" s="1290"/>
      <c r="AS179" s="1290"/>
      <c r="AT179" s="1290"/>
      <c r="AU179" s="1290"/>
      <c r="AV179" s="1290"/>
      <c r="AW179" s="1290"/>
      <c r="AX179" s="1290"/>
      <c r="AY179" s="1290"/>
      <c r="AZ179" s="1290"/>
      <c r="BA179" s="1290"/>
      <c r="BB179" s="1290"/>
      <c r="BC179" s="1290"/>
      <c r="BD179" s="1290"/>
      <c r="BE179" s="1290"/>
      <c r="BF179" s="1290"/>
      <c r="BG179" s="1290"/>
      <c r="BH179" s="1290"/>
      <c r="BI179" s="1290"/>
      <c r="BJ179" s="1290"/>
      <c r="BK179" s="1290"/>
      <c r="BL179" s="1290"/>
      <c r="BM179" s="1290"/>
      <c r="BN179" s="1290"/>
      <c r="BO179" s="1290"/>
      <c r="BP179" s="1290"/>
      <c r="BQ179" s="1290"/>
      <c r="BR179" s="1290"/>
      <c r="BS179" s="1290"/>
      <c r="BT179" s="1290"/>
      <c r="BU179" s="1290"/>
      <c r="BV179" s="1290"/>
      <c r="BW179" s="1290"/>
      <c r="BX179" s="1290"/>
      <c r="BY179" s="1290"/>
      <c r="BZ179" s="1290"/>
      <c r="CA179" s="1290"/>
      <c r="CB179" s="1290"/>
      <c r="CC179" s="1290"/>
      <c r="CD179" s="1290"/>
      <c r="CE179" s="1290"/>
      <c r="CF179" s="1290"/>
      <c r="CG179" s="1290"/>
      <c r="CH179" s="1290"/>
      <c r="CI179" s="1290"/>
      <c r="CJ179" s="1290"/>
      <c r="CK179" s="1290"/>
      <c r="CL179" s="1290"/>
      <c r="CM179" s="1290"/>
      <c r="CN179" s="1290"/>
      <c r="CO179" s="1290"/>
      <c r="CP179" s="1290"/>
      <c r="CQ179" s="1290"/>
      <c r="CR179" s="1290"/>
      <c r="CS179" s="1290"/>
      <c r="CT179" s="1290"/>
      <c r="CU179" s="1290"/>
      <c r="CV179" s="1290"/>
      <c r="CW179" s="1290"/>
      <c r="CX179" s="1290"/>
      <c r="CY179" s="1290"/>
      <c r="CZ179" s="1290"/>
      <c r="DA179" s="1290"/>
      <c r="DB179" s="1290"/>
      <c r="DC179" s="1290"/>
      <c r="DD179" s="1290"/>
      <c r="DE179" s="1290"/>
      <c r="DF179" s="1290"/>
      <c r="DG179" s="1290"/>
      <c r="DH179" s="1290"/>
      <c r="DI179" s="1290"/>
      <c r="DJ179" s="1290"/>
      <c r="DK179" s="1290"/>
      <c r="DL179" s="1290"/>
      <c r="DM179" s="1290"/>
      <c r="DN179" s="1290"/>
      <c r="DO179" s="1290"/>
      <c r="DP179" s="1290"/>
      <c r="DQ179" s="1290"/>
      <c r="DR179" s="1290"/>
      <c r="DS179" s="1290"/>
      <c r="DT179" s="1290"/>
      <c r="DU179" s="1290"/>
      <c r="DV179" s="1290"/>
      <c r="DW179" s="1290"/>
      <c r="DX179" s="1290"/>
      <c r="DY179" s="1290"/>
      <c r="DZ179" s="1290"/>
      <c r="EA179" s="1290"/>
      <c r="EB179" s="1290"/>
      <c r="EC179" s="1290"/>
      <c r="ED179" s="1290"/>
      <c r="EE179" s="1290"/>
      <c r="EF179" s="1290"/>
      <c r="EG179" s="1290"/>
      <c r="EH179" s="1290"/>
      <c r="EI179" s="1290"/>
      <c r="EJ179" s="1290"/>
      <c r="EK179" s="1290"/>
      <c r="EL179" s="1290"/>
      <c r="EM179" s="1290"/>
      <c r="EN179" s="1290"/>
      <c r="EO179" s="1290"/>
      <c r="EP179" s="1290"/>
      <c r="EQ179" s="1290"/>
      <c r="ER179" s="1290"/>
      <c r="ES179" s="1290"/>
      <c r="ET179" s="1290"/>
      <c r="EU179" s="1290"/>
      <c r="EV179" s="1290"/>
      <c r="EW179" s="1290"/>
      <c r="EX179" s="1290"/>
      <c r="EY179" s="1290"/>
      <c r="EZ179" s="1290"/>
      <c r="FA179" s="1290"/>
      <c r="FB179" s="1290"/>
      <c r="FC179" s="1290"/>
      <c r="FD179" s="1290"/>
      <c r="FE179" s="1290"/>
      <c r="FF179" s="1290"/>
    </row>
    <row r="181" spans="6:162" s="1292" customFormat="1" ht="15.75" customHeight="1">
      <c r="F181" s="1290"/>
      <c r="G181" s="1290"/>
      <c r="H181" s="1290"/>
      <c r="I181" s="1290"/>
      <c r="J181" s="1290"/>
      <c r="K181" s="1290"/>
      <c r="L181" s="1290"/>
      <c r="M181" s="1290"/>
      <c r="N181" s="1290"/>
      <c r="O181" s="1290"/>
      <c r="P181" s="1290"/>
      <c r="Q181" s="1290"/>
      <c r="R181" s="1290"/>
      <c r="S181" s="1290"/>
      <c r="T181" s="1290"/>
      <c r="U181" s="1290"/>
      <c r="V181" s="1290"/>
      <c r="W181" s="1290"/>
      <c r="X181" s="1290"/>
      <c r="Y181" s="1290"/>
      <c r="AA181" s="1290"/>
      <c r="AC181" s="1290"/>
      <c r="AD181" s="1290"/>
      <c r="AE181" s="1290"/>
      <c r="AF181" s="1290"/>
      <c r="AG181" s="1290"/>
      <c r="AH181" s="1291"/>
      <c r="AI181" s="1291"/>
      <c r="AJ181" s="1290"/>
      <c r="AK181" s="1290"/>
      <c r="AL181" s="1290"/>
      <c r="AM181" s="1290"/>
      <c r="AN181" s="1290"/>
      <c r="AO181" s="1290"/>
      <c r="AP181" s="1290"/>
      <c r="AQ181" s="1290"/>
      <c r="AR181" s="1290"/>
      <c r="AS181" s="1290"/>
      <c r="AT181" s="1290"/>
      <c r="AU181" s="1290"/>
      <c r="AV181" s="1290"/>
      <c r="AW181" s="1290"/>
      <c r="AX181" s="1290"/>
      <c r="AY181" s="1290"/>
      <c r="AZ181" s="1290"/>
      <c r="BA181" s="1290"/>
      <c r="BB181" s="1290"/>
      <c r="BC181" s="1290"/>
      <c r="BD181" s="1290"/>
      <c r="BE181" s="1290"/>
      <c r="BF181" s="1290"/>
      <c r="BG181" s="1290"/>
      <c r="BH181" s="1290"/>
      <c r="BI181" s="1290"/>
      <c r="BJ181" s="1290"/>
      <c r="BK181" s="1290"/>
      <c r="BL181" s="1290"/>
      <c r="BM181" s="1290"/>
      <c r="BN181" s="1290"/>
      <c r="BO181" s="1290"/>
      <c r="BP181" s="1290"/>
      <c r="BQ181" s="1290"/>
      <c r="BR181" s="1290"/>
      <c r="BS181" s="1290"/>
      <c r="BT181" s="1290"/>
      <c r="BU181" s="1290"/>
      <c r="BV181" s="1290"/>
      <c r="BW181" s="1290"/>
      <c r="BX181" s="1290"/>
      <c r="BY181" s="1290"/>
      <c r="BZ181" s="1290"/>
      <c r="CA181" s="1290"/>
      <c r="CB181" s="1290"/>
      <c r="CC181" s="1290"/>
      <c r="CD181" s="1290"/>
      <c r="CE181" s="1290"/>
      <c r="CF181" s="1290"/>
      <c r="CG181" s="1290"/>
      <c r="CH181" s="1290"/>
      <c r="CI181" s="1290"/>
      <c r="CJ181" s="1290"/>
      <c r="CK181" s="1290"/>
      <c r="CL181" s="1290"/>
      <c r="CM181" s="1290"/>
      <c r="CN181" s="1290"/>
      <c r="CO181" s="1290"/>
      <c r="CP181" s="1290"/>
      <c r="CQ181" s="1290"/>
      <c r="CR181" s="1290"/>
      <c r="CS181" s="1290"/>
      <c r="CT181" s="1290"/>
      <c r="CU181" s="1290"/>
      <c r="CV181" s="1290"/>
      <c r="CW181" s="1290"/>
      <c r="CX181" s="1290"/>
      <c r="CY181" s="1290"/>
      <c r="CZ181" s="1290"/>
      <c r="DA181" s="1290"/>
      <c r="DB181" s="1290"/>
      <c r="DC181" s="1290"/>
      <c r="DD181" s="1290"/>
      <c r="DE181" s="1290"/>
      <c r="DF181" s="1290"/>
      <c r="DG181" s="1290"/>
      <c r="DH181" s="1290"/>
      <c r="DI181" s="1290"/>
      <c r="DJ181" s="1290"/>
      <c r="DK181" s="1290"/>
      <c r="DL181" s="1290"/>
      <c r="DM181" s="1290"/>
      <c r="DN181" s="1290"/>
      <c r="DO181" s="1290"/>
      <c r="DP181" s="1290"/>
      <c r="DQ181" s="1290"/>
      <c r="DR181" s="1290"/>
      <c r="DS181" s="1290"/>
      <c r="DT181" s="1290"/>
      <c r="DU181" s="1290"/>
      <c r="DV181" s="1290"/>
      <c r="DW181" s="1290"/>
      <c r="DX181" s="1290"/>
      <c r="DY181" s="1290"/>
      <c r="DZ181" s="1290"/>
      <c r="EA181" s="1290"/>
      <c r="EB181" s="1290"/>
      <c r="EC181" s="1290"/>
      <c r="ED181" s="1290"/>
      <c r="EE181" s="1290"/>
      <c r="EF181" s="1290"/>
      <c r="EG181" s="1290"/>
      <c r="EH181" s="1290"/>
      <c r="EI181" s="1290"/>
      <c r="EJ181" s="1290"/>
      <c r="EK181" s="1290"/>
      <c r="EL181" s="1290"/>
      <c r="EM181" s="1290"/>
      <c r="EN181" s="1290"/>
      <c r="EO181" s="1290"/>
      <c r="EP181" s="1290"/>
      <c r="EQ181" s="1290"/>
      <c r="ER181" s="1290"/>
      <c r="ES181" s="1290"/>
      <c r="ET181" s="1290"/>
      <c r="EU181" s="1290"/>
      <c r="EV181" s="1290"/>
      <c r="EW181" s="1290"/>
      <c r="EX181" s="1290"/>
      <c r="EY181" s="1290"/>
      <c r="EZ181" s="1290"/>
      <c r="FA181" s="1290"/>
      <c r="FB181" s="1290"/>
      <c r="FC181" s="1290"/>
      <c r="FD181" s="1290"/>
      <c r="FE181" s="1290"/>
      <c r="FF181" s="1290"/>
    </row>
    <row r="183" spans="6:162" s="1292" customFormat="1" ht="15.75" customHeight="1">
      <c r="F183" s="1290"/>
      <c r="G183" s="1290"/>
      <c r="H183" s="1290"/>
      <c r="I183" s="1290"/>
      <c r="J183" s="1290"/>
      <c r="K183" s="1290"/>
      <c r="L183" s="1290"/>
      <c r="M183" s="1290"/>
      <c r="N183" s="1290"/>
      <c r="O183" s="1290"/>
      <c r="P183" s="1290"/>
      <c r="Q183" s="1290"/>
      <c r="R183" s="1290"/>
      <c r="S183" s="1290"/>
      <c r="T183" s="1290"/>
      <c r="U183" s="1290"/>
      <c r="V183" s="1290"/>
      <c r="W183" s="1290"/>
      <c r="X183" s="1290"/>
      <c r="Y183" s="1290"/>
      <c r="AA183" s="1290"/>
      <c r="AC183" s="1290"/>
      <c r="AD183" s="1290"/>
      <c r="AE183" s="1290"/>
      <c r="AF183" s="1290"/>
      <c r="AG183" s="1290"/>
      <c r="AH183" s="1291"/>
      <c r="AI183" s="1291"/>
      <c r="AJ183" s="1290"/>
      <c r="AK183" s="1290"/>
      <c r="AL183" s="1290"/>
      <c r="AM183" s="1290"/>
      <c r="AN183" s="1290"/>
      <c r="AO183" s="1290"/>
      <c r="AP183" s="1290"/>
      <c r="AQ183" s="1290"/>
      <c r="AR183" s="1290"/>
      <c r="AS183" s="1290"/>
      <c r="AT183" s="1290"/>
      <c r="AU183" s="1290"/>
      <c r="AV183" s="1290"/>
      <c r="AW183" s="1290"/>
      <c r="AX183" s="1290"/>
      <c r="AY183" s="1290"/>
      <c r="AZ183" s="1290"/>
      <c r="BA183" s="1290"/>
      <c r="BB183" s="1290"/>
      <c r="BC183" s="1290"/>
      <c r="BD183" s="1290"/>
      <c r="BE183" s="1290"/>
      <c r="BF183" s="1290"/>
      <c r="BG183" s="1290"/>
      <c r="BH183" s="1290"/>
      <c r="BI183" s="1290"/>
      <c r="BJ183" s="1290"/>
      <c r="BK183" s="1290"/>
      <c r="BL183" s="1290"/>
      <c r="BM183" s="1290"/>
      <c r="BN183" s="1290"/>
      <c r="BO183" s="1290"/>
      <c r="BP183" s="1290"/>
      <c r="BQ183" s="1290"/>
      <c r="BR183" s="1290"/>
      <c r="BS183" s="1290"/>
      <c r="BT183" s="1290"/>
      <c r="BU183" s="1290"/>
      <c r="BV183" s="1290"/>
      <c r="BW183" s="1290"/>
      <c r="BX183" s="1290"/>
      <c r="BY183" s="1290"/>
      <c r="BZ183" s="1290"/>
      <c r="CA183" s="1290"/>
      <c r="CB183" s="1290"/>
      <c r="CC183" s="1290"/>
      <c r="CD183" s="1290"/>
      <c r="CE183" s="1290"/>
      <c r="CF183" s="1290"/>
      <c r="CG183" s="1290"/>
      <c r="CH183" s="1290"/>
      <c r="CI183" s="1290"/>
      <c r="CJ183" s="1290"/>
      <c r="CK183" s="1290"/>
      <c r="CL183" s="1290"/>
      <c r="CM183" s="1290"/>
      <c r="CN183" s="1290"/>
      <c r="CO183" s="1290"/>
      <c r="CP183" s="1290"/>
      <c r="CQ183" s="1290"/>
      <c r="CR183" s="1290"/>
      <c r="CS183" s="1290"/>
      <c r="CT183" s="1290"/>
      <c r="CU183" s="1290"/>
      <c r="CV183" s="1290"/>
      <c r="CW183" s="1290"/>
      <c r="CX183" s="1290"/>
      <c r="CY183" s="1290"/>
      <c r="CZ183" s="1290"/>
      <c r="DA183" s="1290"/>
      <c r="DB183" s="1290"/>
      <c r="DC183" s="1290"/>
      <c r="DD183" s="1290"/>
      <c r="DE183" s="1290"/>
      <c r="DF183" s="1290"/>
      <c r="DG183" s="1290"/>
      <c r="DH183" s="1290"/>
      <c r="DI183" s="1290"/>
      <c r="DJ183" s="1290"/>
      <c r="DK183" s="1290"/>
      <c r="DL183" s="1290"/>
      <c r="DM183" s="1290"/>
      <c r="DN183" s="1290"/>
      <c r="DO183" s="1290"/>
      <c r="DP183" s="1290"/>
      <c r="DQ183" s="1290"/>
      <c r="DR183" s="1290"/>
      <c r="DS183" s="1290"/>
      <c r="DT183" s="1290"/>
      <c r="DU183" s="1290"/>
      <c r="DV183" s="1290"/>
      <c r="DW183" s="1290"/>
      <c r="DX183" s="1290"/>
      <c r="DY183" s="1290"/>
      <c r="DZ183" s="1290"/>
      <c r="EA183" s="1290"/>
      <c r="EB183" s="1290"/>
      <c r="EC183" s="1290"/>
      <c r="ED183" s="1290"/>
      <c r="EE183" s="1290"/>
      <c r="EF183" s="1290"/>
      <c r="EG183" s="1290"/>
      <c r="EH183" s="1290"/>
      <c r="EI183" s="1290"/>
      <c r="EJ183" s="1290"/>
      <c r="EK183" s="1290"/>
      <c r="EL183" s="1290"/>
      <c r="EM183" s="1290"/>
      <c r="EN183" s="1290"/>
      <c r="EO183" s="1290"/>
      <c r="EP183" s="1290"/>
      <c r="EQ183" s="1290"/>
      <c r="ER183" s="1290"/>
      <c r="ES183" s="1290"/>
      <c r="ET183" s="1290"/>
      <c r="EU183" s="1290"/>
      <c r="EV183" s="1290"/>
      <c r="EW183" s="1290"/>
      <c r="EX183" s="1290"/>
      <c r="EY183" s="1290"/>
      <c r="EZ183" s="1290"/>
      <c r="FA183" s="1290"/>
      <c r="FB183" s="1290"/>
      <c r="FC183" s="1290"/>
      <c r="FD183" s="1290"/>
      <c r="FE183" s="1290"/>
      <c r="FF183" s="1290"/>
    </row>
    <row r="185" spans="6:162" s="1292" customFormat="1" ht="15.75" customHeight="1">
      <c r="F185" s="1290"/>
      <c r="G185" s="1290"/>
      <c r="H185" s="1290"/>
      <c r="I185" s="1290"/>
      <c r="J185" s="1290"/>
      <c r="K185" s="1290"/>
      <c r="L185" s="1290"/>
      <c r="M185" s="1290"/>
      <c r="N185" s="1290"/>
      <c r="O185" s="1290"/>
      <c r="P185" s="1290"/>
      <c r="Q185" s="1290"/>
      <c r="R185" s="1290"/>
      <c r="S185" s="1290"/>
      <c r="T185" s="1290"/>
      <c r="U185" s="1290"/>
      <c r="V185" s="1290"/>
      <c r="W185" s="1290"/>
      <c r="X185" s="1290"/>
      <c r="Y185" s="1290"/>
      <c r="AA185" s="1290"/>
      <c r="AC185" s="1290"/>
      <c r="AD185" s="1290"/>
      <c r="AE185" s="1290"/>
      <c r="AF185" s="1290"/>
      <c r="AG185" s="1290"/>
      <c r="AH185" s="1291"/>
      <c r="AI185" s="1291"/>
      <c r="AJ185" s="1290"/>
      <c r="AK185" s="1290"/>
      <c r="AL185" s="1290"/>
      <c r="AM185" s="1290"/>
      <c r="AN185" s="1290"/>
      <c r="AO185" s="1290"/>
      <c r="AP185" s="1290"/>
      <c r="AQ185" s="1290"/>
      <c r="AR185" s="1290"/>
      <c r="AS185" s="1290"/>
      <c r="AT185" s="1290"/>
      <c r="AU185" s="1290"/>
      <c r="AV185" s="1290"/>
      <c r="AW185" s="1290"/>
      <c r="AX185" s="1290"/>
      <c r="AY185" s="1290"/>
      <c r="AZ185" s="1290"/>
      <c r="BA185" s="1290"/>
      <c r="BB185" s="1290"/>
      <c r="BC185" s="1290"/>
      <c r="BD185" s="1290"/>
      <c r="BE185" s="1290"/>
      <c r="BF185" s="1290"/>
      <c r="BG185" s="1290"/>
      <c r="BH185" s="1290"/>
      <c r="BI185" s="1290"/>
      <c r="BJ185" s="1290"/>
      <c r="BK185" s="1290"/>
      <c r="BL185" s="1290"/>
      <c r="BM185" s="1290"/>
      <c r="BN185" s="1290"/>
      <c r="BO185" s="1290"/>
      <c r="BP185" s="1290"/>
      <c r="BQ185" s="1290"/>
      <c r="BR185" s="1290"/>
      <c r="BS185" s="1290"/>
      <c r="BT185" s="1290"/>
      <c r="BU185" s="1290"/>
      <c r="BV185" s="1290"/>
      <c r="BW185" s="1290"/>
      <c r="BX185" s="1290"/>
      <c r="BY185" s="1290"/>
      <c r="BZ185" s="1290"/>
      <c r="CA185" s="1290"/>
      <c r="CB185" s="1290"/>
      <c r="CC185" s="1290"/>
      <c r="CD185" s="1290"/>
      <c r="CE185" s="1290"/>
      <c r="CF185" s="1290"/>
      <c r="CG185" s="1290"/>
      <c r="CH185" s="1290"/>
      <c r="CI185" s="1290"/>
      <c r="CJ185" s="1290"/>
      <c r="CK185" s="1290"/>
      <c r="CL185" s="1290"/>
      <c r="CM185" s="1290"/>
      <c r="CN185" s="1290"/>
      <c r="CO185" s="1290"/>
      <c r="CP185" s="1290"/>
      <c r="CQ185" s="1290"/>
      <c r="CR185" s="1290"/>
      <c r="CS185" s="1290"/>
      <c r="CT185" s="1290"/>
      <c r="CU185" s="1290"/>
      <c r="CV185" s="1290"/>
      <c r="CW185" s="1290"/>
      <c r="CX185" s="1290"/>
      <c r="CY185" s="1290"/>
      <c r="CZ185" s="1290"/>
      <c r="DA185" s="1290"/>
      <c r="DB185" s="1290"/>
      <c r="DC185" s="1290"/>
      <c r="DD185" s="1290"/>
      <c r="DE185" s="1290"/>
      <c r="DF185" s="1290"/>
      <c r="DG185" s="1290"/>
      <c r="DH185" s="1290"/>
      <c r="DI185" s="1290"/>
      <c r="DJ185" s="1290"/>
      <c r="DK185" s="1290"/>
      <c r="DL185" s="1290"/>
      <c r="DM185" s="1290"/>
      <c r="DN185" s="1290"/>
      <c r="DO185" s="1290"/>
      <c r="DP185" s="1290"/>
      <c r="DQ185" s="1290"/>
      <c r="DR185" s="1290"/>
      <c r="DS185" s="1290"/>
      <c r="DT185" s="1290"/>
      <c r="DU185" s="1290"/>
      <c r="DV185" s="1290"/>
      <c r="DW185" s="1290"/>
      <c r="DX185" s="1290"/>
      <c r="DY185" s="1290"/>
      <c r="DZ185" s="1290"/>
      <c r="EA185" s="1290"/>
      <c r="EB185" s="1290"/>
      <c r="EC185" s="1290"/>
      <c r="ED185" s="1290"/>
      <c r="EE185" s="1290"/>
      <c r="EF185" s="1290"/>
      <c r="EG185" s="1290"/>
      <c r="EH185" s="1290"/>
      <c r="EI185" s="1290"/>
      <c r="EJ185" s="1290"/>
      <c r="EK185" s="1290"/>
      <c r="EL185" s="1290"/>
      <c r="EM185" s="1290"/>
      <c r="EN185" s="1290"/>
      <c r="EO185" s="1290"/>
      <c r="EP185" s="1290"/>
      <c r="EQ185" s="1290"/>
      <c r="ER185" s="1290"/>
      <c r="ES185" s="1290"/>
      <c r="ET185" s="1290"/>
      <c r="EU185" s="1290"/>
      <c r="EV185" s="1290"/>
      <c r="EW185" s="1290"/>
      <c r="EX185" s="1290"/>
      <c r="EY185" s="1290"/>
      <c r="EZ185" s="1290"/>
      <c r="FA185" s="1290"/>
      <c r="FB185" s="1290"/>
      <c r="FC185" s="1290"/>
      <c r="FD185" s="1290"/>
      <c r="FE185" s="1290"/>
      <c r="FF185" s="1290"/>
    </row>
    <row r="187" spans="6:162" s="1292" customFormat="1" ht="15.75" customHeight="1">
      <c r="F187" s="1290"/>
      <c r="G187" s="1290"/>
      <c r="H187" s="1290"/>
      <c r="I187" s="1290"/>
      <c r="J187" s="1290"/>
      <c r="K187" s="1290"/>
      <c r="L187" s="1290"/>
      <c r="M187" s="1290"/>
      <c r="N187" s="1290"/>
      <c r="O187" s="1290"/>
      <c r="P187" s="1290"/>
      <c r="Q187" s="1290"/>
      <c r="R187" s="1290"/>
      <c r="S187" s="1290"/>
      <c r="T187" s="1290"/>
      <c r="U187" s="1290"/>
      <c r="V187" s="1290"/>
      <c r="W187" s="1290"/>
      <c r="X187" s="1290"/>
      <c r="Y187" s="1290"/>
      <c r="AA187" s="1290"/>
      <c r="AC187" s="1290"/>
      <c r="AD187" s="1290"/>
      <c r="AE187" s="1290"/>
      <c r="AF187" s="1290"/>
      <c r="AG187" s="1290"/>
      <c r="AH187" s="1291"/>
      <c r="AI187" s="1291"/>
      <c r="AJ187" s="1290"/>
      <c r="AK187" s="1290"/>
      <c r="AL187" s="1290"/>
      <c r="AM187" s="1290"/>
      <c r="AN187" s="1290"/>
      <c r="AO187" s="1290"/>
      <c r="AP187" s="1290"/>
      <c r="AQ187" s="1290"/>
      <c r="AR187" s="1290"/>
      <c r="AS187" s="1290"/>
      <c r="AT187" s="1290"/>
      <c r="AU187" s="1290"/>
      <c r="AV187" s="1290"/>
      <c r="AW187" s="1290"/>
      <c r="AX187" s="1290"/>
      <c r="AY187" s="1290"/>
      <c r="AZ187" s="1290"/>
      <c r="BA187" s="1290"/>
      <c r="BB187" s="1290"/>
      <c r="BC187" s="1290"/>
      <c r="BD187" s="1290"/>
      <c r="BE187" s="1290"/>
      <c r="BF187" s="1290"/>
      <c r="BG187" s="1290"/>
      <c r="BH187" s="1290"/>
      <c r="BI187" s="1290"/>
      <c r="BJ187" s="1290"/>
      <c r="BK187" s="1290"/>
      <c r="BL187" s="1290"/>
      <c r="BM187" s="1290"/>
      <c r="BN187" s="1290"/>
      <c r="BO187" s="1290"/>
      <c r="BP187" s="1290"/>
      <c r="BQ187" s="1290"/>
      <c r="BR187" s="1290"/>
      <c r="BS187" s="1290"/>
      <c r="BT187" s="1290"/>
      <c r="BU187" s="1290"/>
      <c r="BV187" s="1290"/>
      <c r="BW187" s="1290"/>
      <c r="BX187" s="1290"/>
      <c r="BY187" s="1290"/>
      <c r="BZ187" s="1290"/>
      <c r="CA187" s="1290"/>
      <c r="CB187" s="1290"/>
      <c r="CC187" s="1290"/>
      <c r="CD187" s="1290"/>
      <c r="CE187" s="1290"/>
      <c r="CF187" s="1290"/>
      <c r="CG187" s="1290"/>
      <c r="CH187" s="1290"/>
      <c r="CI187" s="1290"/>
      <c r="CJ187" s="1290"/>
      <c r="CK187" s="1290"/>
      <c r="CL187" s="1290"/>
      <c r="CM187" s="1290"/>
      <c r="CN187" s="1290"/>
      <c r="CO187" s="1290"/>
      <c r="CP187" s="1290"/>
      <c r="CQ187" s="1290"/>
      <c r="CR187" s="1290"/>
      <c r="CS187" s="1290"/>
      <c r="CT187" s="1290"/>
      <c r="CU187" s="1290"/>
      <c r="CV187" s="1290"/>
      <c r="CW187" s="1290"/>
      <c r="CX187" s="1290"/>
      <c r="CY187" s="1290"/>
      <c r="CZ187" s="1290"/>
      <c r="DA187" s="1290"/>
      <c r="DB187" s="1290"/>
      <c r="DC187" s="1290"/>
      <c r="DD187" s="1290"/>
      <c r="DE187" s="1290"/>
      <c r="DF187" s="1290"/>
      <c r="DG187" s="1290"/>
      <c r="DH187" s="1290"/>
      <c r="DI187" s="1290"/>
      <c r="DJ187" s="1290"/>
      <c r="DK187" s="1290"/>
      <c r="DL187" s="1290"/>
      <c r="DM187" s="1290"/>
      <c r="DN187" s="1290"/>
      <c r="DO187" s="1290"/>
      <c r="DP187" s="1290"/>
      <c r="DQ187" s="1290"/>
      <c r="DR187" s="1290"/>
      <c r="DS187" s="1290"/>
      <c r="DT187" s="1290"/>
      <c r="DU187" s="1290"/>
      <c r="DV187" s="1290"/>
      <c r="DW187" s="1290"/>
      <c r="DX187" s="1290"/>
      <c r="DY187" s="1290"/>
      <c r="DZ187" s="1290"/>
      <c r="EA187" s="1290"/>
      <c r="EB187" s="1290"/>
      <c r="EC187" s="1290"/>
      <c r="ED187" s="1290"/>
      <c r="EE187" s="1290"/>
      <c r="EF187" s="1290"/>
      <c r="EG187" s="1290"/>
      <c r="EH187" s="1290"/>
      <c r="EI187" s="1290"/>
      <c r="EJ187" s="1290"/>
      <c r="EK187" s="1290"/>
      <c r="EL187" s="1290"/>
      <c r="EM187" s="1290"/>
      <c r="EN187" s="1290"/>
      <c r="EO187" s="1290"/>
      <c r="EP187" s="1290"/>
      <c r="EQ187" s="1290"/>
      <c r="ER187" s="1290"/>
      <c r="ES187" s="1290"/>
      <c r="ET187" s="1290"/>
      <c r="EU187" s="1290"/>
      <c r="EV187" s="1290"/>
      <c r="EW187" s="1290"/>
      <c r="EX187" s="1290"/>
      <c r="EY187" s="1290"/>
      <c r="EZ187" s="1290"/>
      <c r="FA187" s="1290"/>
      <c r="FB187" s="1290"/>
      <c r="FC187" s="1290"/>
      <c r="FD187" s="1290"/>
      <c r="FE187" s="1290"/>
      <c r="FF187" s="1290"/>
    </row>
    <row r="189" spans="6:162" s="1292" customFormat="1" ht="15.75" customHeight="1">
      <c r="F189" s="1290"/>
      <c r="G189" s="1290"/>
      <c r="H189" s="1290"/>
      <c r="I189" s="1290"/>
      <c r="J189" s="1290"/>
      <c r="K189" s="1290"/>
      <c r="L189" s="1290"/>
      <c r="M189" s="1290"/>
      <c r="N189" s="1290"/>
      <c r="O189" s="1290"/>
      <c r="P189" s="1290"/>
      <c r="Q189" s="1290"/>
      <c r="R189" s="1290"/>
      <c r="S189" s="1290"/>
      <c r="T189" s="1290"/>
      <c r="U189" s="1290"/>
      <c r="V189" s="1290"/>
      <c r="W189" s="1290"/>
      <c r="X189" s="1290"/>
      <c r="Y189" s="1290"/>
      <c r="AA189" s="1290"/>
      <c r="AC189" s="1290"/>
      <c r="AD189" s="1290"/>
      <c r="AE189" s="1290"/>
      <c r="AF189" s="1290"/>
      <c r="AG189" s="1290"/>
      <c r="AH189" s="1291"/>
      <c r="AI189" s="1291"/>
      <c r="AJ189" s="1290"/>
      <c r="AK189" s="1290"/>
      <c r="AL189" s="1290"/>
      <c r="AM189" s="1290"/>
      <c r="AN189" s="1290"/>
      <c r="AO189" s="1290"/>
      <c r="AP189" s="1290"/>
      <c r="AQ189" s="1290"/>
      <c r="AR189" s="1290"/>
      <c r="AS189" s="1290"/>
      <c r="AT189" s="1290"/>
      <c r="AU189" s="1290"/>
      <c r="AV189" s="1290"/>
      <c r="AW189" s="1290"/>
      <c r="AX189" s="1290"/>
      <c r="AY189" s="1290"/>
      <c r="AZ189" s="1290"/>
      <c r="BA189" s="1290"/>
      <c r="BB189" s="1290"/>
      <c r="BC189" s="1290"/>
      <c r="BD189" s="1290"/>
      <c r="BE189" s="1290"/>
      <c r="BF189" s="1290"/>
      <c r="BG189" s="1290"/>
      <c r="BH189" s="1290"/>
      <c r="BI189" s="1290"/>
      <c r="BJ189" s="1290"/>
      <c r="BK189" s="1290"/>
      <c r="BL189" s="1290"/>
      <c r="BM189" s="1290"/>
      <c r="BN189" s="1290"/>
      <c r="BO189" s="1290"/>
      <c r="BP189" s="1290"/>
      <c r="BQ189" s="1290"/>
      <c r="BR189" s="1290"/>
      <c r="BS189" s="1290"/>
      <c r="BT189" s="1290"/>
      <c r="BU189" s="1290"/>
      <c r="BV189" s="1290"/>
      <c r="BW189" s="1290"/>
      <c r="BX189" s="1290"/>
      <c r="BY189" s="1290"/>
      <c r="BZ189" s="1290"/>
      <c r="CA189" s="1290"/>
      <c r="CB189" s="1290"/>
      <c r="CC189" s="1290"/>
      <c r="CD189" s="1290"/>
      <c r="CE189" s="1290"/>
      <c r="CF189" s="1290"/>
      <c r="CG189" s="1290"/>
      <c r="CH189" s="1290"/>
      <c r="CI189" s="1290"/>
      <c r="CJ189" s="1290"/>
      <c r="CK189" s="1290"/>
      <c r="CL189" s="1290"/>
      <c r="CM189" s="1290"/>
      <c r="CN189" s="1290"/>
      <c r="CO189" s="1290"/>
      <c r="CP189" s="1290"/>
      <c r="CQ189" s="1290"/>
      <c r="CR189" s="1290"/>
      <c r="CS189" s="1290"/>
      <c r="CT189" s="1290"/>
      <c r="CU189" s="1290"/>
      <c r="CV189" s="1290"/>
      <c r="CW189" s="1290"/>
      <c r="CX189" s="1290"/>
      <c r="CY189" s="1290"/>
      <c r="CZ189" s="1290"/>
      <c r="DA189" s="1290"/>
      <c r="DB189" s="1290"/>
      <c r="DC189" s="1290"/>
      <c r="DD189" s="1290"/>
      <c r="DE189" s="1290"/>
      <c r="DF189" s="1290"/>
      <c r="DG189" s="1290"/>
      <c r="DH189" s="1290"/>
      <c r="DI189" s="1290"/>
      <c r="DJ189" s="1290"/>
      <c r="DK189" s="1290"/>
      <c r="DL189" s="1290"/>
      <c r="DM189" s="1290"/>
      <c r="DN189" s="1290"/>
      <c r="DO189" s="1290"/>
      <c r="DP189" s="1290"/>
      <c r="DQ189" s="1290"/>
      <c r="DR189" s="1290"/>
      <c r="DS189" s="1290"/>
      <c r="DT189" s="1290"/>
      <c r="DU189" s="1290"/>
      <c r="DV189" s="1290"/>
      <c r="DW189" s="1290"/>
      <c r="DX189" s="1290"/>
      <c r="DY189" s="1290"/>
      <c r="DZ189" s="1290"/>
      <c r="EA189" s="1290"/>
      <c r="EB189" s="1290"/>
      <c r="EC189" s="1290"/>
      <c r="ED189" s="1290"/>
      <c r="EE189" s="1290"/>
      <c r="EF189" s="1290"/>
      <c r="EG189" s="1290"/>
      <c r="EH189" s="1290"/>
      <c r="EI189" s="1290"/>
      <c r="EJ189" s="1290"/>
      <c r="EK189" s="1290"/>
      <c r="EL189" s="1290"/>
      <c r="EM189" s="1290"/>
      <c r="EN189" s="1290"/>
      <c r="EO189" s="1290"/>
      <c r="EP189" s="1290"/>
      <c r="EQ189" s="1290"/>
      <c r="ER189" s="1290"/>
      <c r="ES189" s="1290"/>
      <c r="ET189" s="1290"/>
      <c r="EU189" s="1290"/>
      <c r="EV189" s="1290"/>
      <c r="EW189" s="1290"/>
      <c r="EX189" s="1290"/>
      <c r="EY189" s="1290"/>
      <c r="EZ189" s="1290"/>
      <c r="FA189" s="1290"/>
      <c r="FB189" s="1290"/>
      <c r="FC189" s="1290"/>
      <c r="FD189" s="1290"/>
      <c r="FE189" s="1290"/>
      <c r="FF189" s="1290"/>
    </row>
    <row r="191" spans="6:162" s="1292" customFormat="1" ht="15.75" customHeight="1">
      <c r="F191" s="1290"/>
      <c r="G191" s="1290"/>
      <c r="H191" s="1290"/>
      <c r="I191" s="1290"/>
      <c r="J191" s="1290"/>
      <c r="K191" s="1290"/>
      <c r="L191" s="1290"/>
      <c r="M191" s="1290"/>
      <c r="N191" s="1290"/>
      <c r="O191" s="1290"/>
      <c r="P191" s="1290"/>
      <c r="Q191" s="1290"/>
      <c r="R191" s="1290"/>
      <c r="S191" s="1290"/>
      <c r="T191" s="1290"/>
      <c r="U191" s="1290"/>
      <c r="V191" s="1290"/>
      <c r="W191" s="1290"/>
      <c r="X191" s="1290"/>
      <c r="Y191" s="1290"/>
      <c r="AA191" s="1290"/>
      <c r="AC191" s="1290"/>
      <c r="AD191" s="1290"/>
      <c r="AE191" s="1290"/>
      <c r="AF191" s="1290"/>
      <c r="AG191" s="1290"/>
      <c r="AH191" s="1291"/>
      <c r="AI191" s="1291"/>
      <c r="AJ191" s="1290"/>
      <c r="AK191" s="1290"/>
      <c r="AL191" s="1290"/>
      <c r="AM191" s="1290"/>
      <c r="AN191" s="1290"/>
      <c r="AO191" s="1290"/>
      <c r="AP191" s="1290"/>
      <c r="AQ191" s="1290"/>
      <c r="AR191" s="1290"/>
      <c r="AS191" s="1290"/>
      <c r="AT191" s="1290"/>
      <c r="AU191" s="1290"/>
      <c r="AV191" s="1290"/>
      <c r="AW191" s="1290"/>
      <c r="AX191" s="1290"/>
      <c r="AY191" s="1290"/>
      <c r="AZ191" s="1290"/>
      <c r="BA191" s="1290"/>
      <c r="BB191" s="1290"/>
      <c r="BC191" s="1290"/>
      <c r="BD191" s="1290"/>
      <c r="BE191" s="1290"/>
      <c r="BF191" s="1290"/>
      <c r="BG191" s="1290"/>
      <c r="BH191" s="1290"/>
      <c r="BI191" s="1290"/>
      <c r="BJ191" s="1290"/>
      <c r="BK191" s="1290"/>
      <c r="BL191" s="1290"/>
      <c r="BM191" s="1290"/>
      <c r="BN191" s="1290"/>
      <c r="BO191" s="1290"/>
      <c r="BP191" s="1290"/>
      <c r="BQ191" s="1290"/>
      <c r="BR191" s="1290"/>
      <c r="BS191" s="1290"/>
      <c r="BT191" s="1290"/>
      <c r="BU191" s="1290"/>
      <c r="BV191" s="1290"/>
      <c r="BW191" s="1290"/>
      <c r="BX191" s="1290"/>
      <c r="BY191" s="1290"/>
      <c r="BZ191" s="1290"/>
      <c r="CA191" s="1290"/>
      <c r="CB191" s="1290"/>
      <c r="CC191" s="1290"/>
      <c r="CD191" s="1290"/>
      <c r="CE191" s="1290"/>
      <c r="CF191" s="1290"/>
      <c r="CG191" s="1290"/>
      <c r="CH191" s="1290"/>
      <c r="CI191" s="1290"/>
      <c r="CJ191" s="1290"/>
      <c r="CK191" s="1290"/>
      <c r="CL191" s="1290"/>
      <c r="CM191" s="1290"/>
      <c r="CN191" s="1290"/>
      <c r="CO191" s="1290"/>
      <c r="CP191" s="1290"/>
      <c r="CQ191" s="1290"/>
      <c r="CR191" s="1290"/>
      <c r="CS191" s="1290"/>
      <c r="CT191" s="1290"/>
      <c r="CU191" s="1290"/>
      <c r="CV191" s="1290"/>
      <c r="CW191" s="1290"/>
      <c r="CX191" s="1290"/>
      <c r="CY191" s="1290"/>
      <c r="CZ191" s="1290"/>
      <c r="DA191" s="1290"/>
      <c r="DB191" s="1290"/>
      <c r="DC191" s="1290"/>
      <c r="DD191" s="1290"/>
      <c r="DE191" s="1290"/>
      <c r="DF191" s="1290"/>
      <c r="DG191" s="1290"/>
      <c r="DH191" s="1290"/>
      <c r="DI191" s="1290"/>
      <c r="DJ191" s="1290"/>
      <c r="DK191" s="1290"/>
      <c r="DL191" s="1290"/>
      <c r="DM191" s="1290"/>
      <c r="DN191" s="1290"/>
      <c r="DO191" s="1290"/>
      <c r="DP191" s="1290"/>
      <c r="DQ191" s="1290"/>
      <c r="DR191" s="1290"/>
      <c r="DS191" s="1290"/>
      <c r="DT191" s="1290"/>
      <c r="DU191" s="1290"/>
      <c r="DV191" s="1290"/>
      <c r="DW191" s="1290"/>
      <c r="DX191" s="1290"/>
      <c r="DY191" s="1290"/>
      <c r="DZ191" s="1290"/>
      <c r="EA191" s="1290"/>
      <c r="EB191" s="1290"/>
      <c r="EC191" s="1290"/>
      <c r="ED191" s="1290"/>
      <c r="EE191" s="1290"/>
      <c r="EF191" s="1290"/>
      <c r="EG191" s="1290"/>
      <c r="EH191" s="1290"/>
      <c r="EI191" s="1290"/>
      <c r="EJ191" s="1290"/>
      <c r="EK191" s="1290"/>
      <c r="EL191" s="1290"/>
      <c r="EM191" s="1290"/>
      <c r="EN191" s="1290"/>
      <c r="EO191" s="1290"/>
      <c r="EP191" s="1290"/>
      <c r="EQ191" s="1290"/>
      <c r="ER191" s="1290"/>
      <c r="ES191" s="1290"/>
      <c r="ET191" s="1290"/>
      <c r="EU191" s="1290"/>
      <c r="EV191" s="1290"/>
      <c r="EW191" s="1290"/>
      <c r="EX191" s="1290"/>
      <c r="EY191" s="1290"/>
      <c r="EZ191" s="1290"/>
      <c r="FA191" s="1290"/>
      <c r="FB191" s="1290"/>
      <c r="FC191" s="1290"/>
      <c r="FD191" s="1290"/>
      <c r="FE191" s="1290"/>
      <c r="FF191" s="1290"/>
    </row>
    <row r="193" spans="6:162" s="1292" customFormat="1" ht="15.75" customHeight="1">
      <c r="F193" s="1290"/>
      <c r="G193" s="1290"/>
      <c r="H193" s="1290"/>
      <c r="I193" s="1290"/>
      <c r="J193" s="1290"/>
      <c r="K193" s="1290"/>
      <c r="L193" s="1290"/>
      <c r="M193" s="1290"/>
      <c r="N193" s="1290"/>
      <c r="O193" s="1290"/>
      <c r="P193" s="1290"/>
      <c r="Q193" s="1290"/>
      <c r="R193" s="1290"/>
      <c r="S193" s="1290"/>
      <c r="T193" s="1290"/>
      <c r="U193" s="1290"/>
      <c r="V193" s="1290"/>
      <c r="W193" s="1290"/>
      <c r="X193" s="1290"/>
      <c r="Y193" s="1290"/>
      <c r="AA193" s="1290"/>
      <c r="AC193" s="1290"/>
      <c r="AD193" s="1290"/>
      <c r="AE193" s="1290"/>
      <c r="AF193" s="1290"/>
      <c r="AG193" s="1290"/>
      <c r="AH193" s="1291"/>
      <c r="AI193" s="1291"/>
      <c r="AJ193" s="1290"/>
      <c r="AK193" s="1290"/>
      <c r="AL193" s="1290"/>
      <c r="AM193" s="1290"/>
      <c r="AN193" s="1290"/>
      <c r="AO193" s="1290"/>
      <c r="AP193" s="1290"/>
      <c r="AQ193" s="1290"/>
      <c r="AR193" s="1290"/>
      <c r="AS193" s="1290"/>
      <c r="AT193" s="1290"/>
      <c r="AU193" s="1290"/>
      <c r="AV193" s="1290"/>
      <c r="AW193" s="1290"/>
      <c r="AX193" s="1290"/>
      <c r="AY193" s="1290"/>
      <c r="AZ193" s="1290"/>
      <c r="BA193" s="1290"/>
      <c r="BB193" s="1290"/>
      <c r="BC193" s="1290"/>
      <c r="BD193" s="1290"/>
      <c r="BE193" s="1290"/>
      <c r="BF193" s="1290"/>
      <c r="BG193" s="1290"/>
      <c r="BH193" s="1290"/>
      <c r="BI193" s="1290"/>
      <c r="BJ193" s="1290"/>
      <c r="BK193" s="1290"/>
      <c r="BL193" s="1290"/>
      <c r="BM193" s="1290"/>
      <c r="BN193" s="1290"/>
      <c r="BO193" s="1290"/>
      <c r="BP193" s="1290"/>
      <c r="BQ193" s="1290"/>
      <c r="BR193" s="1290"/>
      <c r="BS193" s="1290"/>
      <c r="BT193" s="1290"/>
      <c r="BU193" s="1290"/>
      <c r="BV193" s="1290"/>
      <c r="BW193" s="1290"/>
      <c r="BX193" s="1290"/>
      <c r="BY193" s="1290"/>
      <c r="BZ193" s="1290"/>
      <c r="CA193" s="1290"/>
      <c r="CB193" s="1290"/>
      <c r="CC193" s="1290"/>
      <c r="CD193" s="1290"/>
      <c r="CE193" s="1290"/>
      <c r="CF193" s="1290"/>
      <c r="CG193" s="1290"/>
      <c r="CH193" s="1290"/>
      <c r="CI193" s="1290"/>
      <c r="CJ193" s="1290"/>
      <c r="CK193" s="1290"/>
      <c r="CL193" s="1290"/>
      <c r="CM193" s="1290"/>
      <c r="CN193" s="1290"/>
      <c r="CO193" s="1290"/>
      <c r="CP193" s="1290"/>
      <c r="CQ193" s="1290"/>
      <c r="CR193" s="1290"/>
      <c r="CS193" s="1290"/>
      <c r="CT193" s="1290"/>
      <c r="CU193" s="1290"/>
      <c r="CV193" s="1290"/>
      <c r="CW193" s="1290"/>
      <c r="CX193" s="1290"/>
      <c r="CY193" s="1290"/>
      <c r="CZ193" s="1290"/>
      <c r="DA193" s="1290"/>
      <c r="DB193" s="1290"/>
      <c r="DC193" s="1290"/>
      <c r="DD193" s="1290"/>
      <c r="DE193" s="1290"/>
      <c r="DF193" s="1290"/>
      <c r="DG193" s="1290"/>
      <c r="DH193" s="1290"/>
      <c r="DI193" s="1290"/>
      <c r="DJ193" s="1290"/>
      <c r="DK193" s="1290"/>
      <c r="DL193" s="1290"/>
      <c r="DM193" s="1290"/>
      <c r="DN193" s="1290"/>
      <c r="DO193" s="1290"/>
      <c r="DP193" s="1290"/>
      <c r="DQ193" s="1290"/>
      <c r="DR193" s="1290"/>
      <c r="DS193" s="1290"/>
      <c r="DT193" s="1290"/>
      <c r="DU193" s="1290"/>
      <c r="DV193" s="1290"/>
      <c r="DW193" s="1290"/>
      <c r="DX193" s="1290"/>
      <c r="DY193" s="1290"/>
      <c r="DZ193" s="1290"/>
      <c r="EA193" s="1290"/>
      <c r="EB193" s="1290"/>
      <c r="EC193" s="1290"/>
      <c r="ED193" s="1290"/>
      <c r="EE193" s="1290"/>
      <c r="EF193" s="1290"/>
      <c r="EG193" s="1290"/>
      <c r="EH193" s="1290"/>
      <c r="EI193" s="1290"/>
      <c r="EJ193" s="1290"/>
      <c r="EK193" s="1290"/>
      <c r="EL193" s="1290"/>
      <c r="EM193" s="1290"/>
      <c r="EN193" s="1290"/>
      <c r="EO193" s="1290"/>
      <c r="EP193" s="1290"/>
      <c r="EQ193" s="1290"/>
      <c r="ER193" s="1290"/>
      <c r="ES193" s="1290"/>
      <c r="ET193" s="1290"/>
      <c r="EU193" s="1290"/>
      <c r="EV193" s="1290"/>
      <c r="EW193" s="1290"/>
      <c r="EX193" s="1290"/>
      <c r="EY193" s="1290"/>
      <c r="EZ193" s="1290"/>
      <c r="FA193" s="1290"/>
      <c r="FB193" s="1290"/>
      <c r="FC193" s="1290"/>
      <c r="FD193" s="1290"/>
      <c r="FE193" s="1290"/>
      <c r="FF193" s="1290"/>
    </row>
    <row r="195" spans="6:162" s="1292" customFormat="1" ht="15.75" customHeight="1">
      <c r="F195" s="1290"/>
      <c r="G195" s="1290"/>
      <c r="H195" s="1290"/>
      <c r="I195" s="1290"/>
      <c r="J195" s="1290"/>
      <c r="K195" s="1290"/>
      <c r="L195" s="1290"/>
      <c r="M195" s="1290"/>
      <c r="N195" s="1290"/>
      <c r="O195" s="1290"/>
      <c r="P195" s="1290"/>
      <c r="Q195" s="1290"/>
      <c r="R195" s="1290"/>
      <c r="S195" s="1290"/>
      <c r="T195" s="1290"/>
      <c r="U195" s="1290"/>
      <c r="V195" s="1290"/>
      <c r="W195" s="1290"/>
      <c r="X195" s="1290"/>
      <c r="Y195" s="1290"/>
      <c r="AA195" s="1290"/>
      <c r="AC195" s="1290"/>
      <c r="AD195" s="1290"/>
      <c r="AE195" s="1290"/>
      <c r="AF195" s="1290"/>
      <c r="AG195" s="1290"/>
      <c r="AH195" s="1291"/>
      <c r="AI195" s="1291"/>
      <c r="AJ195" s="1290"/>
      <c r="AK195" s="1290"/>
      <c r="AL195" s="1290"/>
      <c r="AM195" s="1290"/>
      <c r="AN195" s="1290"/>
      <c r="AO195" s="1290"/>
      <c r="AP195" s="1290"/>
      <c r="AQ195" s="1290"/>
      <c r="AR195" s="1290"/>
      <c r="AS195" s="1290"/>
      <c r="AT195" s="1290"/>
      <c r="AU195" s="1290"/>
      <c r="AV195" s="1290"/>
      <c r="AW195" s="1290"/>
      <c r="AX195" s="1290"/>
      <c r="AY195" s="1290"/>
      <c r="AZ195" s="1290"/>
      <c r="BA195" s="1290"/>
      <c r="BB195" s="1290"/>
      <c r="BC195" s="1290"/>
      <c r="BD195" s="1290"/>
      <c r="BE195" s="1290"/>
      <c r="BF195" s="1290"/>
      <c r="BG195" s="1290"/>
      <c r="BH195" s="1290"/>
      <c r="BI195" s="1290"/>
      <c r="BJ195" s="1290"/>
      <c r="BK195" s="1290"/>
      <c r="BL195" s="1290"/>
      <c r="BM195" s="1290"/>
      <c r="BN195" s="1290"/>
      <c r="BO195" s="1290"/>
      <c r="BP195" s="1290"/>
      <c r="BQ195" s="1290"/>
      <c r="BR195" s="1290"/>
      <c r="BS195" s="1290"/>
      <c r="BT195" s="1290"/>
      <c r="BU195" s="1290"/>
      <c r="BV195" s="1290"/>
      <c r="BW195" s="1290"/>
      <c r="BX195" s="1290"/>
      <c r="BY195" s="1290"/>
      <c r="BZ195" s="1290"/>
      <c r="CA195" s="1290"/>
      <c r="CB195" s="1290"/>
      <c r="CC195" s="1290"/>
      <c r="CD195" s="1290"/>
      <c r="CE195" s="1290"/>
      <c r="CF195" s="1290"/>
      <c r="CG195" s="1290"/>
      <c r="CH195" s="1290"/>
      <c r="CI195" s="1290"/>
      <c r="CJ195" s="1290"/>
      <c r="CK195" s="1290"/>
      <c r="CL195" s="1290"/>
      <c r="CM195" s="1290"/>
      <c r="CN195" s="1290"/>
      <c r="CO195" s="1290"/>
      <c r="CP195" s="1290"/>
      <c r="CQ195" s="1290"/>
      <c r="CR195" s="1290"/>
      <c r="CS195" s="1290"/>
      <c r="CT195" s="1290"/>
      <c r="CU195" s="1290"/>
      <c r="CV195" s="1290"/>
      <c r="CW195" s="1290"/>
      <c r="CX195" s="1290"/>
      <c r="CY195" s="1290"/>
      <c r="CZ195" s="1290"/>
      <c r="DA195" s="1290"/>
      <c r="DB195" s="1290"/>
      <c r="DC195" s="1290"/>
      <c r="DD195" s="1290"/>
      <c r="DE195" s="1290"/>
      <c r="DF195" s="1290"/>
      <c r="DG195" s="1290"/>
      <c r="DH195" s="1290"/>
      <c r="DI195" s="1290"/>
      <c r="DJ195" s="1290"/>
      <c r="DK195" s="1290"/>
      <c r="DL195" s="1290"/>
      <c r="DM195" s="1290"/>
      <c r="DN195" s="1290"/>
      <c r="DO195" s="1290"/>
      <c r="DP195" s="1290"/>
      <c r="DQ195" s="1290"/>
      <c r="DR195" s="1290"/>
      <c r="DS195" s="1290"/>
      <c r="DT195" s="1290"/>
      <c r="DU195" s="1290"/>
      <c r="DV195" s="1290"/>
      <c r="DW195" s="1290"/>
      <c r="DX195" s="1290"/>
      <c r="DY195" s="1290"/>
      <c r="DZ195" s="1290"/>
      <c r="EA195" s="1290"/>
      <c r="EB195" s="1290"/>
      <c r="EC195" s="1290"/>
      <c r="ED195" s="1290"/>
      <c r="EE195" s="1290"/>
      <c r="EF195" s="1290"/>
      <c r="EG195" s="1290"/>
      <c r="EH195" s="1290"/>
      <c r="EI195" s="1290"/>
      <c r="EJ195" s="1290"/>
      <c r="EK195" s="1290"/>
      <c r="EL195" s="1290"/>
      <c r="EM195" s="1290"/>
      <c r="EN195" s="1290"/>
      <c r="EO195" s="1290"/>
      <c r="EP195" s="1290"/>
      <c r="EQ195" s="1290"/>
      <c r="ER195" s="1290"/>
      <c r="ES195" s="1290"/>
      <c r="ET195" s="1290"/>
      <c r="EU195" s="1290"/>
      <c r="EV195" s="1290"/>
      <c r="EW195" s="1290"/>
      <c r="EX195" s="1290"/>
      <c r="EY195" s="1290"/>
      <c r="EZ195" s="1290"/>
      <c r="FA195" s="1290"/>
      <c r="FB195" s="1290"/>
      <c r="FC195" s="1290"/>
      <c r="FD195" s="1290"/>
      <c r="FE195" s="1290"/>
      <c r="FF195" s="1290"/>
    </row>
    <row r="197" spans="6:162" s="1292" customFormat="1" ht="15.75" customHeight="1">
      <c r="F197" s="1290"/>
      <c r="G197" s="1290"/>
      <c r="H197" s="1290"/>
      <c r="I197" s="1290"/>
      <c r="J197" s="1290"/>
      <c r="K197" s="1290"/>
      <c r="L197" s="1290"/>
      <c r="M197" s="1290"/>
      <c r="N197" s="1290"/>
      <c r="O197" s="1290"/>
      <c r="P197" s="1290"/>
      <c r="Q197" s="1290"/>
      <c r="R197" s="1290"/>
      <c r="S197" s="1290"/>
      <c r="T197" s="1290"/>
      <c r="U197" s="1290"/>
      <c r="V197" s="1290"/>
      <c r="W197" s="1290"/>
      <c r="X197" s="1290"/>
      <c r="Y197" s="1290"/>
      <c r="AA197" s="1290"/>
      <c r="AC197" s="1290"/>
      <c r="AD197" s="1290"/>
      <c r="AE197" s="1290"/>
      <c r="AF197" s="1290"/>
      <c r="AG197" s="1290"/>
      <c r="AH197" s="1291"/>
      <c r="AI197" s="1291"/>
      <c r="AJ197" s="1290"/>
      <c r="AK197" s="1290"/>
      <c r="AL197" s="1290"/>
      <c r="AM197" s="1290"/>
      <c r="AN197" s="1290"/>
      <c r="AO197" s="1290"/>
      <c r="AP197" s="1290"/>
      <c r="AQ197" s="1290"/>
      <c r="AR197" s="1290"/>
      <c r="AS197" s="1290"/>
      <c r="AT197" s="1290"/>
      <c r="AU197" s="1290"/>
      <c r="AV197" s="1290"/>
      <c r="AW197" s="1290"/>
      <c r="AX197" s="1290"/>
      <c r="AY197" s="1290"/>
      <c r="AZ197" s="1290"/>
      <c r="BA197" s="1290"/>
      <c r="BB197" s="1290"/>
      <c r="BC197" s="1290"/>
      <c r="BD197" s="1290"/>
      <c r="BE197" s="1290"/>
      <c r="BF197" s="1290"/>
      <c r="BG197" s="1290"/>
      <c r="BH197" s="1290"/>
      <c r="BI197" s="1290"/>
      <c r="BJ197" s="1290"/>
      <c r="BK197" s="1290"/>
      <c r="BL197" s="1290"/>
      <c r="BM197" s="1290"/>
      <c r="BN197" s="1290"/>
      <c r="BO197" s="1290"/>
      <c r="BP197" s="1290"/>
      <c r="BQ197" s="1290"/>
      <c r="BR197" s="1290"/>
      <c r="BS197" s="1290"/>
      <c r="BT197" s="1290"/>
      <c r="BU197" s="1290"/>
      <c r="BV197" s="1290"/>
      <c r="BW197" s="1290"/>
      <c r="BX197" s="1290"/>
      <c r="BY197" s="1290"/>
      <c r="BZ197" s="1290"/>
      <c r="CA197" s="1290"/>
      <c r="CB197" s="1290"/>
      <c r="CC197" s="1290"/>
      <c r="CD197" s="1290"/>
      <c r="CE197" s="1290"/>
      <c r="CF197" s="1290"/>
      <c r="CG197" s="1290"/>
      <c r="CH197" s="1290"/>
      <c r="CI197" s="1290"/>
      <c r="CJ197" s="1290"/>
      <c r="CK197" s="1290"/>
      <c r="CL197" s="1290"/>
      <c r="CM197" s="1290"/>
      <c r="CN197" s="1290"/>
      <c r="CO197" s="1290"/>
      <c r="CP197" s="1290"/>
      <c r="CQ197" s="1290"/>
      <c r="CR197" s="1290"/>
      <c r="CS197" s="1290"/>
      <c r="CT197" s="1290"/>
      <c r="CU197" s="1290"/>
      <c r="CV197" s="1290"/>
      <c r="CW197" s="1290"/>
      <c r="CX197" s="1290"/>
      <c r="CY197" s="1290"/>
      <c r="CZ197" s="1290"/>
      <c r="DA197" s="1290"/>
      <c r="DB197" s="1290"/>
      <c r="DC197" s="1290"/>
      <c r="DD197" s="1290"/>
      <c r="DE197" s="1290"/>
      <c r="DF197" s="1290"/>
      <c r="DG197" s="1290"/>
      <c r="DH197" s="1290"/>
      <c r="DI197" s="1290"/>
      <c r="DJ197" s="1290"/>
      <c r="DK197" s="1290"/>
      <c r="DL197" s="1290"/>
      <c r="DM197" s="1290"/>
      <c r="DN197" s="1290"/>
      <c r="DO197" s="1290"/>
      <c r="DP197" s="1290"/>
      <c r="DQ197" s="1290"/>
      <c r="DR197" s="1290"/>
      <c r="DS197" s="1290"/>
      <c r="DT197" s="1290"/>
      <c r="DU197" s="1290"/>
      <c r="DV197" s="1290"/>
      <c r="DW197" s="1290"/>
      <c r="DX197" s="1290"/>
      <c r="DY197" s="1290"/>
      <c r="DZ197" s="1290"/>
      <c r="EA197" s="1290"/>
      <c r="EB197" s="1290"/>
      <c r="EC197" s="1290"/>
      <c r="ED197" s="1290"/>
      <c r="EE197" s="1290"/>
      <c r="EF197" s="1290"/>
      <c r="EG197" s="1290"/>
      <c r="EH197" s="1290"/>
      <c r="EI197" s="1290"/>
      <c r="EJ197" s="1290"/>
      <c r="EK197" s="1290"/>
      <c r="EL197" s="1290"/>
      <c r="EM197" s="1290"/>
      <c r="EN197" s="1290"/>
      <c r="EO197" s="1290"/>
      <c r="EP197" s="1290"/>
      <c r="EQ197" s="1290"/>
      <c r="ER197" s="1290"/>
      <c r="ES197" s="1290"/>
      <c r="ET197" s="1290"/>
      <c r="EU197" s="1290"/>
      <c r="EV197" s="1290"/>
      <c r="EW197" s="1290"/>
      <c r="EX197" s="1290"/>
      <c r="EY197" s="1290"/>
      <c r="EZ197" s="1290"/>
      <c r="FA197" s="1290"/>
      <c r="FB197" s="1290"/>
      <c r="FC197" s="1290"/>
      <c r="FD197" s="1290"/>
      <c r="FE197" s="1290"/>
      <c r="FF197" s="1290"/>
    </row>
    <row r="199" spans="6:162" s="1292" customFormat="1" ht="15.75" customHeight="1">
      <c r="F199" s="1290"/>
      <c r="G199" s="1290"/>
      <c r="H199" s="1290"/>
      <c r="I199" s="1290"/>
      <c r="J199" s="1290"/>
      <c r="K199" s="1290"/>
      <c r="L199" s="1290"/>
      <c r="M199" s="1290"/>
      <c r="N199" s="1290"/>
      <c r="O199" s="1290"/>
      <c r="P199" s="1290"/>
      <c r="Q199" s="1290"/>
      <c r="R199" s="1290"/>
      <c r="S199" s="1290"/>
      <c r="T199" s="1290"/>
      <c r="U199" s="1290"/>
      <c r="V199" s="1290"/>
      <c r="W199" s="1290"/>
      <c r="X199" s="1290"/>
      <c r="Y199" s="1290"/>
      <c r="AA199" s="1290"/>
      <c r="AC199" s="1290"/>
      <c r="AD199" s="1290"/>
      <c r="AE199" s="1290"/>
      <c r="AF199" s="1290"/>
      <c r="AG199" s="1290"/>
      <c r="AH199" s="1291"/>
      <c r="AI199" s="1291"/>
      <c r="AJ199" s="1290"/>
      <c r="AK199" s="1290"/>
      <c r="AL199" s="1290"/>
      <c r="AM199" s="1290"/>
      <c r="AN199" s="1290"/>
      <c r="AO199" s="1290"/>
      <c r="AP199" s="1290"/>
      <c r="AQ199" s="1290"/>
      <c r="AR199" s="1290"/>
      <c r="AS199" s="1290"/>
      <c r="AT199" s="1290"/>
      <c r="AU199" s="1290"/>
      <c r="AV199" s="1290"/>
      <c r="AW199" s="1290"/>
      <c r="AX199" s="1290"/>
      <c r="AY199" s="1290"/>
      <c r="AZ199" s="1290"/>
      <c r="BA199" s="1290"/>
      <c r="BB199" s="1290"/>
      <c r="BC199" s="1290"/>
      <c r="BD199" s="1290"/>
      <c r="BE199" s="1290"/>
      <c r="BF199" s="1290"/>
      <c r="BG199" s="1290"/>
      <c r="BH199" s="1290"/>
      <c r="BI199" s="1290"/>
      <c r="BJ199" s="1290"/>
      <c r="BK199" s="1290"/>
      <c r="BL199" s="1290"/>
      <c r="BM199" s="1290"/>
      <c r="BN199" s="1290"/>
      <c r="BO199" s="1290"/>
      <c r="BP199" s="1290"/>
      <c r="BQ199" s="1290"/>
      <c r="BR199" s="1290"/>
      <c r="BS199" s="1290"/>
      <c r="BT199" s="1290"/>
      <c r="BU199" s="1290"/>
      <c r="BV199" s="1290"/>
      <c r="BW199" s="1290"/>
      <c r="BX199" s="1290"/>
      <c r="BY199" s="1290"/>
      <c r="BZ199" s="1290"/>
      <c r="CA199" s="1290"/>
      <c r="CB199" s="1290"/>
      <c r="CC199" s="1290"/>
      <c r="CD199" s="1290"/>
      <c r="CE199" s="1290"/>
      <c r="CF199" s="1290"/>
      <c r="CG199" s="1290"/>
      <c r="CH199" s="1290"/>
      <c r="CI199" s="1290"/>
      <c r="CJ199" s="1290"/>
      <c r="CK199" s="1290"/>
      <c r="CL199" s="1290"/>
      <c r="CM199" s="1290"/>
      <c r="CN199" s="1290"/>
      <c r="CO199" s="1290"/>
      <c r="CP199" s="1290"/>
      <c r="CQ199" s="1290"/>
      <c r="CR199" s="1290"/>
      <c r="CS199" s="1290"/>
      <c r="CT199" s="1290"/>
      <c r="CU199" s="1290"/>
      <c r="CV199" s="1290"/>
      <c r="CW199" s="1290"/>
      <c r="CX199" s="1290"/>
      <c r="CY199" s="1290"/>
      <c r="CZ199" s="1290"/>
      <c r="DA199" s="1290"/>
      <c r="DB199" s="1290"/>
      <c r="DC199" s="1290"/>
      <c r="DD199" s="1290"/>
      <c r="DE199" s="1290"/>
      <c r="DF199" s="1290"/>
      <c r="DG199" s="1290"/>
      <c r="DH199" s="1290"/>
      <c r="DI199" s="1290"/>
      <c r="DJ199" s="1290"/>
      <c r="DK199" s="1290"/>
      <c r="DL199" s="1290"/>
      <c r="DM199" s="1290"/>
      <c r="DN199" s="1290"/>
      <c r="DO199" s="1290"/>
      <c r="DP199" s="1290"/>
      <c r="DQ199" s="1290"/>
      <c r="DR199" s="1290"/>
      <c r="DS199" s="1290"/>
      <c r="DT199" s="1290"/>
      <c r="DU199" s="1290"/>
      <c r="DV199" s="1290"/>
      <c r="DW199" s="1290"/>
      <c r="DX199" s="1290"/>
      <c r="DY199" s="1290"/>
      <c r="DZ199" s="1290"/>
      <c r="EA199" s="1290"/>
      <c r="EB199" s="1290"/>
      <c r="EC199" s="1290"/>
      <c r="ED199" s="1290"/>
      <c r="EE199" s="1290"/>
      <c r="EF199" s="1290"/>
      <c r="EG199" s="1290"/>
      <c r="EH199" s="1290"/>
      <c r="EI199" s="1290"/>
      <c r="EJ199" s="1290"/>
      <c r="EK199" s="1290"/>
      <c r="EL199" s="1290"/>
      <c r="EM199" s="1290"/>
      <c r="EN199" s="1290"/>
      <c r="EO199" s="1290"/>
      <c r="EP199" s="1290"/>
      <c r="EQ199" s="1290"/>
      <c r="ER199" s="1290"/>
      <c r="ES199" s="1290"/>
      <c r="ET199" s="1290"/>
      <c r="EU199" s="1290"/>
      <c r="EV199" s="1290"/>
      <c r="EW199" s="1290"/>
      <c r="EX199" s="1290"/>
      <c r="EY199" s="1290"/>
      <c r="EZ199" s="1290"/>
      <c r="FA199" s="1290"/>
      <c r="FB199" s="1290"/>
      <c r="FC199" s="1290"/>
      <c r="FD199" s="1290"/>
      <c r="FE199" s="1290"/>
      <c r="FF199" s="1290"/>
    </row>
    <row r="201" spans="6:162" s="1292" customFormat="1" ht="15.75" customHeight="1">
      <c r="F201" s="1290"/>
      <c r="G201" s="1290"/>
      <c r="H201" s="1290"/>
      <c r="I201" s="1290"/>
      <c r="J201" s="1290"/>
      <c r="K201" s="1290"/>
      <c r="L201" s="1290"/>
      <c r="M201" s="1290"/>
      <c r="N201" s="1290"/>
      <c r="O201" s="1290"/>
      <c r="P201" s="1290"/>
      <c r="Q201" s="1290"/>
      <c r="R201" s="1290"/>
      <c r="S201" s="1290"/>
      <c r="T201" s="1290"/>
      <c r="U201" s="1290"/>
      <c r="V201" s="1290"/>
      <c r="W201" s="1290"/>
      <c r="X201" s="1290"/>
      <c r="Y201" s="1290"/>
      <c r="AA201" s="1290"/>
      <c r="AC201" s="1290"/>
      <c r="AD201" s="1290"/>
      <c r="AE201" s="1290"/>
      <c r="AF201" s="1290"/>
      <c r="AG201" s="1290"/>
      <c r="AH201" s="1291"/>
      <c r="AI201" s="1291"/>
      <c r="AJ201" s="1290"/>
      <c r="AK201" s="1290"/>
      <c r="AL201" s="1290"/>
      <c r="AM201" s="1290"/>
      <c r="AN201" s="1290"/>
      <c r="AO201" s="1290"/>
      <c r="AP201" s="1290"/>
      <c r="AQ201" s="1290"/>
      <c r="AR201" s="1290"/>
      <c r="AS201" s="1290"/>
      <c r="AT201" s="1290"/>
      <c r="AU201" s="1290"/>
      <c r="AV201" s="1290"/>
      <c r="AW201" s="1290"/>
      <c r="AX201" s="1290"/>
      <c r="AY201" s="1290"/>
      <c r="AZ201" s="1290"/>
      <c r="BA201" s="1290"/>
      <c r="BB201" s="1290"/>
      <c r="BC201" s="1290"/>
      <c r="BD201" s="1290"/>
      <c r="BE201" s="1290"/>
      <c r="BF201" s="1290"/>
      <c r="BG201" s="1290"/>
      <c r="BH201" s="1290"/>
      <c r="BI201" s="1290"/>
      <c r="BJ201" s="1290"/>
      <c r="BK201" s="1290"/>
      <c r="BL201" s="1290"/>
      <c r="BM201" s="1290"/>
      <c r="BN201" s="1290"/>
      <c r="BO201" s="1290"/>
      <c r="BP201" s="1290"/>
      <c r="BQ201" s="1290"/>
      <c r="BR201" s="1290"/>
      <c r="BS201" s="1290"/>
      <c r="BT201" s="1290"/>
      <c r="BU201" s="1290"/>
      <c r="BV201" s="1290"/>
      <c r="BW201" s="1290"/>
      <c r="BX201" s="1290"/>
      <c r="BY201" s="1290"/>
      <c r="BZ201" s="1290"/>
      <c r="CA201" s="1290"/>
      <c r="CB201" s="1290"/>
      <c r="CC201" s="1290"/>
      <c r="CD201" s="1290"/>
      <c r="CE201" s="1290"/>
      <c r="CF201" s="1290"/>
      <c r="CG201" s="1290"/>
      <c r="CH201" s="1290"/>
      <c r="CI201" s="1290"/>
      <c r="CJ201" s="1290"/>
      <c r="CK201" s="1290"/>
      <c r="CL201" s="1290"/>
      <c r="CM201" s="1290"/>
      <c r="CN201" s="1290"/>
      <c r="CO201" s="1290"/>
      <c r="CP201" s="1290"/>
      <c r="CQ201" s="1290"/>
      <c r="CR201" s="1290"/>
      <c r="CS201" s="1290"/>
      <c r="CT201" s="1290"/>
      <c r="CU201" s="1290"/>
      <c r="CV201" s="1290"/>
      <c r="CW201" s="1290"/>
      <c r="CX201" s="1290"/>
      <c r="CY201" s="1290"/>
      <c r="CZ201" s="1290"/>
      <c r="DA201" s="1290"/>
      <c r="DB201" s="1290"/>
      <c r="DC201" s="1290"/>
      <c r="DD201" s="1290"/>
      <c r="DE201" s="1290"/>
      <c r="DF201" s="1290"/>
      <c r="DG201" s="1290"/>
      <c r="DH201" s="1290"/>
      <c r="DI201" s="1290"/>
      <c r="DJ201" s="1290"/>
      <c r="DK201" s="1290"/>
      <c r="DL201" s="1290"/>
      <c r="DM201" s="1290"/>
      <c r="DN201" s="1290"/>
      <c r="DO201" s="1290"/>
      <c r="DP201" s="1290"/>
      <c r="DQ201" s="1290"/>
      <c r="DR201" s="1290"/>
      <c r="DS201" s="1290"/>
      <c r="DT201" s="1290"/>
      <c r="DU201" s="1290"/>
      <c r="DV201" s="1290"/>
      <c r="DW201" s="1290"/>
      <c r="DX201" s="1290"/>
      <c r="DY201" s="1290"/>
      <c r="DZ201" s="1290"/>
      <c r="EA201" s="1290"/>
      <c r="EB201" s="1290"/>
      <c r="EC201" s="1290"/>
      <c r="ED201" s="1290"/>
      <c r="EE201" s="1290"/>
      <c r="EF201" s="1290"/>
      <c r="EG201" s="1290"/>
      <c r="EH201" s="1290"/>
      <c r="EI201" s="1290"/>
      <c r="EJ201" s="1290"/>
      <c r="EK201" s="1290"/>
      <c r="EL201" s="1290"/>
      <c r="EM201" s="1290"/>
      <c r="EN201" s="1290"/>
      <c r="EO201" s="1290"/>
      <c r="EP201" s="1290"/>
      <c r="EQ201" s="1290"/>
      <c r="ER201" s="1290"/>
      <c r="ES201" s="1290"/>
      <c r="ET201" s="1290"/>
      <c r="EU201" s="1290"/>
      <c r="EV201" s="1290"/>
      <c r="EW201" s="1290"/>
      <c r="EX201" s="1290"/>
      <c r="EY201" s="1290"/>
      <c r="EZ201" s="1290"/>
      <c r="FA201" s="1290"/>
      <c r="FB201" s="1290"/>
      <c r="FC201" s="1290"/>
      <c r="FD201" s="1290"/>
      <c r="FE201" s="1290"/>
      <c r="FF201" s="1290"/>
    </row>
    <row r="203" spans="6:162" s="1292" customFormat="1" ht="15.75" customHeight="1">
      <c r="F203" s="1290"/>
      <c r="G203" s="1290"/>
      <c r="H203" s="1290"/>
      <c r="I203" s="1290"/>
      <c r="J203" s="1290"/>
      <c r="K203" s="1290"/>
      <c r="L203" s="1290"/>
      <c r="M203" s="1290"/>
      <c r="N203" s="1290"/>
      <c r="O203" s="1290"/>
      <c r="P203" s="1290"/>
      <c r="Q203" s="1290"/>
      <c r="R203" s="1290"/>
      <c r="S203" s="1290"/>
      <c r="T203" s="1290"/>
      <c r="U203" s="1290"/>
      <c r="V203" s="1290"/>
      <c r="W203" s="1290"/>
      <c r="X203" s="1290"/>
      <c r="Y203" s="1290"/>
      <c r="AA203" s="1290"/>
      <c r="AC203" s="1290"/>
      <c r="AD203" s="1290"/>
      <c r="AE203" s="1290"/>
      <c r="AF203" s="1290"/>
      <c r="AG203" s="1290"/>
      <c r="AH203" s="1291"/>
      <c r="AI203" s="1291"/>
      <c r="AJ203" s="1290"/>
      <c r="AK203" s="1290"/>
      <c r="AL203" s="1290"/>
      <c r="AM203" s="1290"/>
      <c r="AN203" s="1290"/>
      <c r="AO203" s="1290"/>
      <c r="AP203" s="1290"/>
      <c r="AQ203" s="1290"/>
      <c r="AR203" s="1290"/>
      <c r="AS203" s="1290"/>
      <c r="AT203" s="1290"/>
      <c r="AU203" s="1290"/>
      <c r="AV203" s="1290"/>
      <c r="AW203" s="1290"/>
      <c r="AX203" s="1290"/>
      <c r="AY203" s="1290"/>
      <c r="AZ203" s="1290"/>
      <c r="BA203" s="1290"/>
      <c r="BB203" s="1290"/>
      <c r="BC203" s="1290"/>
      <c r="BD203" s="1290"/>
      <c r="BE203" s="1290"/>
      <c r="BF203" s="1290"/>
      <c r="BG203" s="1290"/>
      <c r="BH203" s="1290"/>
      <c r="BI203" s="1290"/>
      <c r="BJ203" s="1290"/>
      <c r="BK203" s="1290"/>
      <c r="BL203" s="1290"/>
      <c r="BM203" s="1290"/>
      <c r="BN203" s="1290"/>
      <c r="BO203" s="1290"/>
      <c r="BP203" s="1290"/>
      <c r="BQ203" s="1290"/>
      <c r="BR203" s="1290"/>
      <c r="BS203" s="1290"/>
      <c r="BT203" s="1290"/>
      <c r="BU203" s="1290"/>
      <c r="BV203" s="1290"/>
      <c r="BW203" s="1290"/>
      <c r="BX203" s="1290"/>
      <c r="BY203" s="1290"/>
      <c r="BZ203" s="1290"/>
      <c r="CA203" s="1290"/>
      <c r="CB203" s="1290"/>
      <c r="CC203" s="1290"/>
      <c r="CD203" s="1290"/>
      <c r="CE203" s="1290"/>
      <c r="CF203" s="1290"/>
      <c r="CG203" s="1290"/>
      <c r="CH203" s="1290"/>
      <c r="CI203" s="1290"/>
      <c r="CJ203" s="1290"/>
      <c r="CK203" s="1290"/>
      <c r="CL203" s="1290"/>
      <c r="CM203" s="1290"/>
      <c r="CN203" s="1290"/>
      <c r="CO203" s="1290"/>
      <c r="CP203" s="1290"/>
      <c r="CQ203" s="1290"/>
      <c r="CR203" s="1290"/>
      <c r="CS203" s="1290"/>
      <c r="CT203" s="1290"/>
      <c r="CU203" s="1290"/>
      <c r="CV203" s="1290"/>
      <c r="CW203" s="1290"/>
      <c r="CX203" s="1290"/>
      <c r="CY203" s="1290"/>
      <c r="CZ203" s="1290"/>
      <c r="DA203" s="1290"/>
      <c r="DB203" s="1290"/>
      <c r="DC203" s="1290"/>
      <c r="DD203" s="1290"/>
      <c r="DE203" s="1290"/>
      <c r="DF203" s="1290"/>
      <c r="DG203" s="1290"/>
      <c r="DH203" s="1290"/>
      <c r="DI203" s="1290"/>
      <c r="DJ203" s="1290"/>
      <c r="DK203" s="1290"/>
      <c r="DL203" s="1290"/>
      <c r="DM203" s="1290"/>
      <c r="DN203" s="1290"/>
      <c r="DO203" s="1290"/>
      <c r="DP203" s="1290"/>
      <c r="DQ203" s="1290"/>
      <c r="DR203" s="1290"/>
      <c r="DS203" s="1290"/>
      <c r="DT203" s="1290"/>
      <c r="DU203" s="1290"/>
      <c r="DV203" s="1290"/>
      <c r="DW203" s="1290"/>
      <c r="DX203" s="1290"/>
      <c r="DY203" s="1290"/>
      <c r="DZ203" s="1290"/>
      <c r="EA203" s="1290"/>
      <c r="EB203" s="1290"/>
      <c r="EC203" s="1290"/>
      <c r="ED203" s="1290"/>
      <c r="EE203" s="1290"/>
      <c r="EF203" s="1290"/>
      <c r="EG203" s="1290"/>
      <c r="EH203" s="1290"/>
      <c r="EI203" s="1290"/>
      <c r="EJ203" s="1290"/>
      <c r="EK203" s="1290"/>
      <c r="EL203" s="1290"/>
      <c r="EM203" s="1290"/>
      <c r="EN203" s="1290"/>
      <c r="EO203" s="1290"/>
      <c r="EP203" s="1290"/>
      <c r="EQ203" s="1290"/>
      <c r="ER203" s="1290"/>
      <c r="ES203" s="1290"/>
      <c r="ET203" s="1290"/>
      <c r="EU203" s="1290"/>
      <c r="EV203" s="1290"/>
      <c r="EW203" s="1290"/>
      <c r="EX203" s="1290"/>
      <c r="EY203" s="1290"/>
      <c r="EZ203" s="1290"/>
      <c r="FA203" s="1290"/>
      <c r="FB203" s="1290"/>
      <c r="FC203" s="1290"/>
      <c r="FD203" s="1290"/>
      <c r="FE203" s="1290"/>
      <c r="FF203" s="1290"/>
    </row>
    <row r="205" spans="6:162" s="1292" customFormat="1" ht="15.75" customHeight="1">
      <c r="F205" s="1290"/>
      <c r="G205" s="1290"/>
      <c r="H205" s="1290"/>
      <c r="I205" s="1290"/>
      <c r="J205" s="1290"/>
      <c r="K205" s="1290"/>
      <c r="L205" s="1290"/>
      <c r="M205" s="1290"/>
      <c r="N205" s="1290"/>
      <c r="O205" s="1290"/>
      <c r="P205" s="1290"/>
      <c r="Q205" s="1290"/>
      <c r="R205" s="1290"/>
      <c r="S205" s="1290"/>
      <c r="T205" s="1290"/>
      <c r="U205" s="1290"/>
      <c r="V205" s="1290"/>
      <c r="W205" s="1290"/>
      <c r="X205" s="1290"/>
      <c r="Y205" s="1290"/>
      <c r="AA205" s="1290"/>
      <c r="AC205" s="1290"/>
      <c r="AD205" s="1290"/>
      <c r="AE205" s="1290"/>
      <c r="AF205" s="1290"/>
      <c r="AG205" s="1290"/>
      <c r="AH205" s="1291"/>
      <c r="AI205" s="1291"/>
      <c r="AJ205" s="1290"/>
      <c r="AK205" s="1290"/>
      <c r="AL205" s="1290"/>
      <c r="AM205" s="1290"/>
      <c r="AN205" s="1290"/>
      <c r="AO205" s="1290"/>
      <c r="AP205" s="1290"/>
      <c r="AQ205" s="1290"/>
      <c r="AR205" s="1290"/>
      <c r="AS205" s="1290"/>
      <c r="AT205" s="1290"/>
      <c r="AU205" s="1290"/>
      <c r="AV205" s="1290"/>
      <c r="AW205" s="1290"/>
      <c r="AX205" s="1290"/>
      <c r="AY205" s="1290"/>
      <c r="AZ205" s="1290"/>
      <c r="BA205" s="1290"/>
      <c r="BB205" s="1290"/>
      <c r="BC205" s="1290"/>
      <c r="BD205" s="1290"/>
      <c r="BE205" s="1290"/>
      <c r="BF205" s="1290"/>
      <c r="BG205" s="1290"/>
      <c r="BH205" s="1290"/>
      <c r="BI205" s="1290"/>
      <c r="BJ205" s="1290"/>
      <c r="BK205" s="1290"/>
      <c r="BL205" s="1290"/>
      <c r="BM205" s="1290"/>
      <c r="BN205" s="1290"/>
      <c r="BO205" s="1290"/>
      <c r="BP205" s="1290"/>
      <c r="BQ205" s="1290"/>
      <c r="BR205" s="1290"/>
      <c r="BS205" s="1290"/>
      <c r="BT205" s="1290"/>
      <c r="BU205" s="1290"/>
      <c r="BV205" s="1290"/>
      <c r="BW205" s="1290"/>
      <c r="BX205" s="1290"/>
      <c r="BY205" s="1290"/>
      <c r="BZ205" s="1290"/>
      <c r="CA205" s="1290"/>
      <c r="CB205" s="1290"/>
      <c r="CC205" s="1290"/>
      <c r="CD205" s="1290"/>
      <c r="CE205" s="1290"/>
      <c r="CF205" s="1290"/>
      <c r="CG205" s="1290"/>
      <c r="CH205" s="1290"/>
      <c r="CI205" s="1290"/>
      <c r="CJ205" s="1290"/>
      <c r="CK205" s="1290"/>
      <c r="CL205" s="1290"/>
      <c r="CM205" s="1290"/>
      <c r="CN205" s="1290"/>
      <c r="CO205" s="1290"/>
      <c r="CP205" s="1290"/>
      <c r="CQ205" s="1290"/>
      <c r="CR205" s="1290"/>
      <c r="CS205" s="1290"/>
      <c r="CT205" s="1290"/>
      <c r="CU205" s="1290"/>
      <c r="CV205" s="1290"/>
      <c r="CW205" s="1290"/>
      <c r="CX205" s="1290"/>
      <c r="CY205" s="1290"/>
      <c r="CZ205" s="1290"/>
      <c r="DA205" s="1290"/>
      <c r="DB205" s="1290"/>
      <c r="DC205" s="1290"/>
      <c r="DD205" s="1290"/>
      <c r="DE205" s="1290"/>
      <c r="DF205" s="1290"/>
      <c r="DG205" s="1290"/>
      <c r="DH205" s="1290"/>
      <c r="DI205" s="1290"/>
      <c r="DJ205" s="1290"/>
      <c r="DK205" s="1290"/>
      <c r="DL205" s="1290"/>
      <c r="DM205" s="1290"/>
      <c r="DN205" s="1290"/>
      <c r="DO205" s="1290"/>
      <c r="DP205" s="1290"/>
      <c r="DQ205" s="1290"/>
      <c r="DR205" s="1290"/>
      <c r="DS205" s="1290"/>
      <c r="DT205" s="1290"/>
      <c r="DU205" s="1290"/>
      <c r="DV205" s="1290"/>
      <c r="DW205" s="1290"/>
      <c r="DX205" s="1290"/>
      <c r="DY205" s="1290"/>
      <c r="DZ205" s="1290"/>
      <c r="EA205" s="1290"/>
      <c r="EB205" s="1290"/>
      <c r="EC205" s="1290"/>
      <c r="ED205" s="1290"/>
      <c r="EE205" s="1290"/>
      <c r="EF205" s="1290"/>
      <c r="EG205" s="1290"/>
      <c r="EH205" s="1290"/>
      <c r="EI205" s="1290"/>
      <c r="EJ205" s="1290"/>
      <c r="EK205" s="1290"/>
      <c r="EL205" s="1290"/>
      <c r="EM205" s="1290"/>
      <c r="EN205" s="1290"/>
      <c r="EO205" s="1290"/>
      <c r="EP205" s="1290"/>
      <c r="EQ205" s="1290"/>
      <c r="ER205" s="1290"/>
      <c r="ES205" s="1290"/>
      <c r="ET205" s="1290"/>
      <c r="EU205" s="1290"/>
      <c r="EV205" s="1290"/>
      <c r="EW205" s="1290"/>
      <c r="EX205" s="1290"/>
      <c r="EY205" s="1290"/>
      <c r="EZ205" s="1290"/>
      <c r="FA205" s="1290"/>
      <c r="FB205" s="1290"/>
      <c r="FC205" s="1290"/>
      <c r="FD205" s="1290"/>
      <c r="FE205" s="1290"/>
      <c r="FF205" s="1290"/>
    </row>
    <row r="207" spans="6:162" s="1292" customFormat="1" ht="15.75" customHeight="1">
      <c r="F207" s="1290"/>
      <c r="G207" s="1290"/>
      <c r="H207" s="1290"/>
      <c r="I207" s="1290"/>
      <c r="J207" s="1290"/>
      <c r="K207" s="1290"/>
      <c r="L207" s="1290"/>
      <c r="M207" s="1290"/>
      <c r="N207" s="1290"/>
      <c r="O207" s="1290"/>
      <c r="P207" s="1290"/>
      <c r="Q207" s="1290"/>
      <c r="R207" s="1290"/>
      <c r="S207" s="1290"/>
      <c r="T207" s="1290"/>
      <c r="U207" s="1290"/>
      <c r="V207" s="1290"/>
      <c r="W207" s="1290"/>
      <c r="X207" s="1290"/>
      <c r="Y207" s="1290"/>
      <c r="AA207" s="1290"/>
      <c r="AC207" s="1290"/>
      <c r="AD207" s="1290"/>
      <c r="AE207" s="1290"/>
      <c r="AF207" s="1290"/>
      <c r="AG207" s="1290"/>
      <c r="AH207" s="1291"/>
      <c r="AI207" s="1291"/>
      <c r="AJ207" s="1290"/>
      <c r="AK207" s="1290"/>
      <c r="AL207" s="1290"/>
      <c r="AM207" s="1290"/>
      <c r="AN207" s="1290"/>
      <c r="AO207" s="1290"/>
      <c r="AP207" s="1290"/>
      <c r="AQ207" s="1290"/>
      <c r="AR207" s="1290"/>
      <c r="AS207" s="1290"/>
      <c r="AT207" s="1290"/>
      <c r="AU207" s="1290"/>
      <c r="AV207" s="1290"/>
      <c r="AW207" s="1290"/>
      <c r="AX207" s="1290"/>
      <c r="AY207" s="1290"/>
      <c r="AZ207" s="1290"/>
      <c r="BA207" s="1290"/>
      <c r="BB207" s="1290"/>
      <c r="BC207" s="1290"/>
      <c r="BD207" s="1290"/>
      <c r="BE207" s="1290"/>
      <c r="BF207" s="1290"/>
      <c r="BG207" s="1290"/>
      <c r="BH207" s="1290"/>
      <c r="BI207" s="1290"/>
      <c r="BJ207" s="1290"/>
      <c r="BK207" s="1290"/>
      <c r="BL207" s="1290"/>
      <c r="BM207" s="1290"/>
      <c r="BN207" s="1290"/>
      <c r="BO207" s="1290"/>
      <c r="BP207" s="1290"/>
      <c r="BQ207" s="1290"/>
      <c r="BR207" s="1290"/>
      <c r="BS207" s="1290"/>
      <c r="BT207" s="1290"/>
      <c r="BU207" s="1290"/>
      <c r="BV207" s="1290"/>
      <c r="BW207" s="1290"/>
      <c r="BX207" s="1290"/>
      <c r="BY207" s="1290"/>
      <c r="BZ207" s="1290"/>
      <c r="CA207" s="1290"/>
      <c r="CB207" s="1290"/>
      <c r="CC207" s="1290"/>
      <c r="CD207" s="1290"/>
      <c r="CE207" s="1290"/>
      <c r="CF207" s="1290"/>
      <c r="CG207" s="1290"/>
      <c r="CH207" s="1290"/>
      <c r="CI207" s="1290"/>
      <c r="CJ207" s="1290"/>
      <c r="CK207" s="1290"/>
      <c r="CL207" s="1290"/>
      <c r="CM207" s="1290"/>
      <c r="CN207" s="1290"/>
      <c r="CO207" s="1290"/>
      <c r="CP207" s="1290"/>
      <c r="CQ207" s="1290"/>
      <c r="CR207" s="1290"/>
      <c r="CS207" s="1290"/>
      <c r="CT207" s="1290"/>
      <c r="CU207" s="1290"/>
      <c r="CV207" s="1290"/>
      <c r="CW207" s="1290"/>
      <c r="CX207" s="1290"/>
      <c r="CY207" s="1290"/>
      <c r="CZ207" s="1290"/>
      <c r="DA207" s="1290"/>
      <c r="DB207" s="1290"/>
      <c r="DC207" s="1290"/>
      <c r="DD207" s="1290"/>
      <c r="DE207" s="1290"/>
      <c r="DF207" s="1290"/>
      <c r="DG207" s="1290"/>
      <c r="DH207" s="1290"/>
      <c r="DI207" s="1290"/>
      <c r="DJ207" s="1290"/>
      <c r="DK207" s="1290"/>
      <c r="DL207" s="1290"/>
      <c r="DM207" s="1290"/>
      <c r="DN207" s="1290"/>
      <c r="DO207" s="1290"/>
      <c r="DP207" s="1290"/>
      <c r="DQ207" s="1290"/>
      <c r="DR207" s="1290"/>
      <c r="DS207" s="1290"/>
      <c r="DT207" s="1290"/>
      <c r="DU207" s="1290"/>
      <c r="DV207" s="1290"/>
      <c r="DW207" s="1290"/>
      <c r="DX207" s="1290"/>
      <c r="DY207" s="1290"/>
      <c r="DZ207" s="1290"/>
      <c r="EA207" s="1290"/>
      <c r="EB207" s="1290"/>
      <c r="EC207" s="1290"/>
      <c r="ED207" s="1290"/>
      <c r="EE207" s="1290"/>
      <c r="EF207" s="1290"/>
      <c r="EG207" s="1290"/>
      <c r="EH207" s="1290"/>
      <c r="EI207" s="1290"/>
      <c r="EJ207" s="1290"/>
      <c r="EK207" s="1290"/>
      <c r="EL207" s="1290"/>
      <c r="EM207" s="1290"/>
      <c r="EN207" s="1290"/>
      <c r="EO207" s="1290"/>
      <c r="EP207" s="1290"/>
      <c r="EQ207" s="1290"/>
      <c r="ER207" s="1290"/>
      <c r="ES207" s="1290"/>
      <c r="ET207" s="1290"/>
      <c r="EU207" s="1290"/>
      <c r="EV207" s="1290"/>
      <c r="EW207" s="1290"/>
      <c r="EX207" s="1290"/>
      <c r="EY207" s="1290"/>
      <c r="EZ207" s="1290"/>
      <c r="FA207" s="1290"/>
      <c r="FB207" s="1290"/>
      <c r="FC207" s="1290"/>
      <c r="FD207" s="1290"/>
      <c r="FE207" s="1290"/>
      <c r="FF207" s="1290"/>
    </row>
    <row r="209" spans="6:162" s="1292" customFormat="1" ht="15.75" customHeight="1">
      <c r="F209" s="1290"/>
      <c r="G209" s="1290"/>
      <c r="H209" s="1290"/>
      <c r="I209" s="1290"/>
      <c r="J209" s="1290"/>
      <c r="K209" s="1290"/>
      <c r="L209" s="1290"/>
      <c r="M209" s="1290"/>
      <c r="N209" s="1290"/>
      <c r="O209" s="1290"/>
      <c r="P209" s="1290"/>
      <c r="Q209" s="1290"/>
      <c r="R209" s="1290"/>
      <c r="S209" s="1290"/>
      <c r="T209" s="1290"/>
      <c r="U209" s="1290"/>
      <c r="V209" s="1290"/>
      <c r="W209" s="1290"/>
      <c r="X209" s="1290"/>
      <c r="Y209" s="1290"/>
      <c r="AA209" s="1290"/>
      <c r="AC209" s="1290"/>
      <c r="AD209" s="1290"/>
      <c r="AE209" s="1290"/>
      <c r="AF209" s="1290"/>
      <c r="AG209" s="1290"/>
      <c r="AH209" s="1291"/>
      <c r="AI209" s="1291"/>
      <c r="AJ209" s="1290"/>
      <c r="AK209" s="1290"/>
      <c r="AL209" s="1290"/>
      <c r="AM209" s="1290"/>
      <c r="AN209" s="1290"/>
      <c r="AO209" s="1290"/>
      <c r="AP209" s="1290"/>
      <c r="AQ209" s="1290"/>
      <c r="AR209" s="1290"/>
      <c r="AS209" s="1290"/>
      <c r="AT209" s="1290"/>
      <c r="AU209" s="1290"/>
      <c r="AV209" s="1290"/>
      <c r="AW209" s="1290"/>
      <c r="AX209" s="1290"/>
      <c r="AY209" s="1290"/>
      <c r="AZ209" s="1290"/>
      <c r="BA209" s="1290"/>
      <c r="BB209" s="1290"/>
      <c r="BC209" s="1290"/>
      <c r="BD209" s="1290"/>
      <c r="BE209" s="1290"/>
      <c r="BF209" s="1290"/>
      <c r="BG209" s="1290"/>
      <c r="BH209" s="1290"/>
      <c r="BI209" s="1290"/>
      <c r="BJ209" s="1290"/>
      <c r="BK209" s="1290"/>
      <c r="BL209" s="1290"/>
      <c r="BM209" s="1290"/>
      <c r="BN209" s="1290"/>
      <c r="BO209" s="1290"/>
      <c r="BP209" s="1290"/>
      <c r="BQ209" s="1290"/>
      <c r="BR209" s="1290"/>
      <c r="BS209" s="1290"/>
      <c r="BT209" s="1290"/>
      <c r="BU209" s="1290"/>
      <c r="BV209" s="1290"/>
      <c r="BW209" s="1290"/>
      <c r="BX209" s="1290"/>
      <c r="BY209" s="1290"/>
      <c r="BZ209" s="1290"/>
      <c r="CA209" s="1290"/>
      <c r="CB209" s="1290"/>
      <c r="CC209" s="1290"/>
      <c r="CD209" s="1290"/>
      <c r="CE209" s="1290"/>
      <c r="CF209" s="1290"/>
      <c r="CG209" s="1290"/>
      <c r="CH209" s="1290"/>
      <c r="CI209" s="1290"/>
      <c r="CJ209" s="1290"/>
      <c r="CK209" s="1290"/>
      <c r="CL209" s="1290"/>
      <c r="CM209" s="1290"/>
      <c r="CN209" s="1290"/>
      <c r="CO209" s="1290"/>
      <c r="CP209" s="1290"/>
      <c r="CQ209" s="1290"/>
      <c r="CR209" s="1290"/>
      <c r="CS209" s="1290"/>
      <c r="CT209" s="1290"/>
      <c r="CU209" s="1290"/>
      <c r="CV209" s="1290"/>
      <c r="CW209" s="1290"/>
      <c r="CX209" s="1290"/>
      <c r="CY209" s="1290"/>
      <c r="CZ209" s="1290"/>
      <c r="DA209" s="1290"/>
      <c r="DB209" s="1290"/>
      <c r="DC209" s="1290"/>
      <c r="DD209" s="1290"/>
      <c r="DE209" s="1290"/>
      <c r="DF209" s="1290"/>
      <c r="DG209" s="1290"/>
      <c r="DH209" s="1290"/>
      <c r="DI209" s="1290"/>
      <c r="DJ209" s="1290"/>
      <c r="DK209" s="1290"/>
      <c r="DL209" s="1290"/>
      <c r="DM209" s="1290"/>
      <c r="DN209" s="1290"/>
      <c r="DO209" s="1290"/>
      <c r="DP209" s="1290"/>
      <c r="DQ209" s="1290"/>
      <c r="DR209" s="1290"/>
      <c r="DS209" s="1290"/>
      <c r="DT209" s="1290"/>
      <c r="DU209" s="1290"/>
      <c r="DV209" s="1290"/>
      <c r="DW209" s="1290"/>
      <c r="DX209" s="1290"/>
      <c r="DY209" s="1290"/>
      <c r="DZ209" s="1290"/>
      <c r="EA209" s="1290"/>
      <c r="EB209" s="1290"/>
      <c r="EC209" s="1290"/>
      <c r="ED209" s="1290"/>
      <c r="EE209" s="1290"/>
      <c r="EF209" s="1290"/>
      <c r="EG209" s="1290"/>
      <c r="EH209" s="1290"/>
      <c r="EI209" s="1290"/>
      <c r="EJ209" s="1290"/>
      <c r="EK209" s="1290"/>
      <c r="EL209" s="1290"/>
      <c r="EM209" s="1290"/>
      <c r="EN209" s="1290"/>
      <c r="EO209" s="1290"/>
      <c r="EP209" s="1290"/>
      <c r="EQ209" s="1290"/>
      <c r="ER209" s="1290"/>
      <c r="ES209" s="1290"/>
      <c r="ET209" s="1290"/>
      <c r="EU209" s="1290"/>
      <c r="EV209" s="1290"/>
      <c r="EW209" s="1290"/>
      <c r="EX209" s="1290"/>
      <c r="EY209" s="1290"/>
      <c r="EZ209" s="1290"/>
      <c r="FA209" s="1290"/>
      <c r="FB209" s="1290"/>
      <c r="FC209" s="1290"/>
      <c r="FD209" s="1290"/>
      <c r="FE209" s="1290"/>
      <c r="FF209" s="1290"/>
    </row>
    <row r="211" spans="6:162" s="1292" customFormat="1" ht="15.75" customHeight="1">
      <c r="F211" s="1290"/>
      <c r="G211" s="1290"/>
      <c r="H211" s="1290"/>
      <c r="I211" s="1290"/>
      <c r="J211" s="1290"/>
      <c r="K211" s="1290"/>
      <c r="L211" s="1290"/>
      <c r="M211" s="1290"/>
      <c r="N211" s="1290"/>
      <c r="O211" s="1290"/>
      <c r="P211" s="1290"/>
      <c r="Q211" s="1290"/>
      <c r="R211" s="1290"/>
      <c r="S211" s="1290"/>
      <c r="T211" s="1290"/>
      <c r="U211" s="1290"/>
      <c r="V211" s="1290"/>
      <c r="W211" s="1290"/>
      <c r="X211" s="1290"/>
      <c r="Y211" s="1290"/>
      <c r="AA211" s="1290"/>
      <c r="AC211" s="1290"/>
      <c r="AD211" s="1290"/>
      <c r="AE211" s="1290"/>
      <c r="AF211" s="1290"/>
      <c r="AG211" s="1290"/>
      <c r="AH211" s="1291"/>
      <c r="AI211" s="1291"/>
      <c r="AJ211" s="1290"/>
      <c r="AK211" s="1290"/>
      <c r="AL211" s="1290"/>
      <c r="AM211" s="1290"/>
      <c r="AN211" s="1290"/>
      <c r="AO211" s="1290"/>
      <c r="AP211" s="1290"/>
      <c r="AQ211" s="1290"/>
      <c r="AR211" s="1290"/>
      <c r="AS211" s="1290"/>
      <c r="AT211" s="1290"/>
      <c r="AU211" s="1290"/>
      <c r="AV211" s="1290"/>
      <c r="AW211" s="1290"/>
      <c r="AX211" s="1290"/>
      <c r="AY211" s="1290"/>
      <c r="AZ211" s="1290"/>
      <c r="BA211" s="1290"/>
      <c r="BB211" s="1290"/>
      <c r="BC211" s="1290"/>
      <c r="BD211" s="1290"/>
      <c r="BE211" s="1290"/>
      <c r="BF211" s="1290"/>
      <c r="BG211" s="1290"/>
      <c r="BH211" s="1290"/>
      <c r="BI211" s="1290"/>
      <c r="BJ211" s="1290"/>
      <c r="BK211" s="1290"/>
      <c r="BL211" s="1290"/>
      <c r="BM211" s="1290"/>
      <c r="BN211" s="1290"/>
      <c r="BO211" s="1290"/>
      <c r="BP211" s="1290"/>
      <c r="BQ211" s="1290"/>
      <c r="BR211" s="1290"/>
      <c r="BS211" s="1290"/>
      <c r="BT211" s="1290"/>
      <c r="BU211" s="1290"/>
      <c r="BV211" s="1290"/>
      <c r="BW211" s="1290"/>
      <c r="BX211" s="1290"/>
      <c r="BY211" s="1290"/>
      <c r="BZ211" s="1290"/>
      <c r="CA211" s="1290"/>
      <c r="CB211" s="1290"/>
      <c r="CC211" s="1290"/>
      <c r="CD211" s="1290"/>
      <c r="CE211" s="1290"/>
      <c r="CF211" s="1290"/>
      <c r="CG211" s="1290"/>
      <c r="CH211" s="1290"/>
      <c r="CI211" s="1290"/>
      <c r="CJ211" s="1290"/>
      <c r="CK211" s="1290"/>
      <c r="CL211" s="1290"/>
      <c r="CM211" s="1290"/>
      <c r="CN211" s="1290"/>
      <c r="CO211" s="1290"/>
      <c r="CP211" s="1290"/>
      <c r="CQ211" s="1290"/>
      <c r="CR211" s="1290"/>
      <c r="CS211" s="1290"/>
      <c r="CT211" s="1290"/>
      <c r="CU211" s="1290"/>
      <c r="CV211" s="1290"/>
      <c r="CW211" s="1290"/>
      <c r="CX211" s="1290"/>
      <c r="CY211" s="1290"/>
      <c r="CZ211" s="1290"/>
      <c r="DA211" s="1290"/>
      <c r="DB211" s="1290"/>
      <c r="DC211" s="1290"/>
      <c r="DD211" s="1290"/>
      <c r="DE211" s="1290"/>
      <c r="DF211" s="1290"/>
      <c r="DG211" s="1290"/>
      <c r="DH211" s="1290"/>
      <c r="DI211" s="1290"/>
      <c r="DJ211" s="1290"/>
      <c r="DK211" s="1290"/>
      <c r="DL211" s="1290"/>
      <c r="DM211" s="1290"/>
      <c r="DN211" s="1290"/>
      <c r="DO211" s="1290"/>
      <c r="DP211" s="1290"/>
      <c r="DQ211" s="1290"/>
      <c r="DR211" s="1290"/>
      <c r="DS211" s="1290"/>
      <c r="DT211" s="1290"/>
      <c r="DU211" s="1290"/>
      <c r="DV211" s="1290"/>
      <c r="DW211" s="1290"/>
      <c r="DX211" s="1290"/>
      <c r="DY211" s="1290"/>
      <c r="DZ211" s="1290"/>
      <c r="EA211" s="1290"/>
      <c r="EB211" s="1290"/>
      <c r="EC211" s="1290"/>
      <c r="ED211" s="1290"/>
      <c r="EE211" s="1290"/>
      <c r="EF211" s="1290"/>
      <c r="EG211" s="1290"/>
      <c r="EH211" s="1290"/>
      <c r="EI211" s="1290"/>
      <c r="EJ211" s="1290"/>
      <c r="EK211" s="1290"/>
      <c r="EL211" s="1290"/>
      <c r="EM211" s="1290"/>
      <c r="EN211" s="1290"/>
      <c r="EO211" s="1290"/>
      <c r="EP211" s="1290"/>
      <c r="EQ211" s="1290"/>
      <c r="ER211" s="1290"/>
      <c r="ES211" s="1290"/>
      <c r="ET211" s="1290"/>
      <c r="EU211" s="1290"/>
      <c r="EV211" s="1290"/>
      <c r="EW211" s="1290"/>
      <c r="EX211" s="1290"/>
      <c r="EY211" s="1290"/>
      <c r="EZ211" s="1290"/>
      <c r="FA211" s="1290"/>
      <c r="FB211" s="1290"/>
      <c r="FC211" s="1290"/>
      <c r="FD211" s="1290"/>
      <c r="FE211" s="1290"/>
      <c r="FF211" s="1290"/>
    </row>
    <row r="213" spans="6:162" s="1292" customFormat="1" ht="15.75" customHeight="1">
      <c r="F213" s="1290"/>
      <c r="G213" s="1290"/>
      <c r="H213" s="1290"/>
      <c r="I213" s="1290"/>
      <c r="J213" s="1290"/>
      <c r="K213" s="1290"/>
      <c r="L213" s="1290"/>
      <c r="M213" s="1290"/>
      <c r="N213" s="1290"/>
      <c r="O213" s="1290"/>
      <c r="P213" s="1290"/>
      <c r="Q213" s="1290"/>
      <c r="R213" s="1290"/>
      <c r="S213" s="1290"/>
      <c r="T213" s="1290"/>
      <c r="U213" s="1290"/>
      <c r="V213" s="1290"/>
      <c r="W213" s="1290"/>
      <c r="X213" s="1290"/>
      <c r="Y213" s="1290"/>
      <c r="AA213" s="1290"/>
      <c r="AC213" s="1290"/>
      <c r="AD213" s="1290"/>
      <c r="AE213" s="1290"/>
      <c r="AF213" s="1290"/>
      <c r="AG213" s="1290"/>
      <c r="AH213" s="1291"/>
      <c r="AI213" s="1291"/>
      <c r="AJ213" s="1290"/>
      <c r="AK213" s="1290"/>
      <c r="AL213" s="1290"/>
      <c r="AM213" s="1290"/>
      <c r="AN213" s="1290"/>
      <c r="AO213" s="1290"/>
      <c r="AP213" s="1290"/>
      <c r="AQ213" s="1290"/>
      <c r="AR213" s="1290"/>
      <c r="AS213" s="1290"/>
      <c r="AT213" s="1290"/>
      <c r="AU213" s="1290"/>
      <c r="AV213" s="1290"/>
      <c r="AW213" s="1290"/>
      <c r="AX213" s="1290"/>
      <c r="AY213" s="1290"/>
      <c r="AZ213" s="1290"/>
      <c r="BA213" s="1290"/>
      <c r="BB213" s="1290"/>
      <c r="BC213" s="1290"/>
      <c r="BD213" s="1290"/>
      <c r="BE213" s="1290"/>
      <c r="BF213" s="1290"/>
      <c r="BG213" s="1290"/>
      <c r="BH213" s="1290"/>
      <c r="BI213" s="1290"/>
      <c r="BJ213" s="1290"/>
      <c r="BK213" s="1290"/>
      <c r="BL213" s="1290"/>
      <c r="BM213" s="1290"/>
      <c r="BN213" s="1290"/>
      <c r="BO213" s="1290"/>
      <c r="BP213" s="1290"/>
      <c r="BQ213" s="1290"/>
      <c r="BR213" s="1290"/>
      <c r="BS213" s="1290"/>
      <c r="BT213" s="1290"/>
      <c r="BU213" s="1290"/>
      <c r="BV213" s="1290"/>
      <c r="BW213" s="1290"/>
      <c r="BX213" s="1290"/>
      <c r="BY213" s="1290"/>
      <c r="BZ213" s="1290"/>
      <c r="CA213" s="1290"/>
      <c r="CB213" s="1290"/>
      <c r="CC213" s="1290"/>
      <c r="CD213" s="1290"/>
      <c r="CE213" s="1290"/>
      <c r="CF213" s="1290"/>
      <c r="CG213" s="1290"/>
      <c r="CH213" s="1290"/>
      <c r="CI213" s="1290"/>
      <c r="CJ213" s="1290"/>
      <c r="CK213" s="1290"/>
      <c r="CL213" s="1290"/>
      <c r="CM213" s="1290"/>
      <c r="CN213" s="1290"/>
      <c r="CO213" s="1290"/>
      <c r="CP213" s="1290"/>
      <c r="CQ213" s="1290"/>
      <c r="CR213" s="1290"/>
      <c r="CS213" s="1290"/>
      <c r="CT213" s="1290"/>
      <c r="CU213" s="1290"/>
      <c r="CV213" s="1290"/>
      <c r="CW213" s="1290"/>
      <c r="CX213" s="1290"/>
      <c r="CY213" s="1290"/>
      <c r="CZ213" s="1290"/>
      <c r="DA213" s="1290"/>
      <c r="DB213" s="1290"/>
      <c r="DC213" s="1290"/>
      <c r="DD213" s="1290"/>
      <c r="DE213" s="1290"/>
      <c r="DF213" s="1290"/>
      <c r="DG213" s="1290"/>
      <c r="DH213" s="1290"/>
      <c r="DI213" s="1290"/>
      <c r="DJ213" s="1290"/>
      <c r="DK213" s="1290"/>
      <c r="DL213" s="1290"/>
      <c r="DM213" s="1290"/>
      <c r="DN213" s="1290"/>
      <c r="DO213" s="1290"/>
      <c r="DP213" s="1290"/>
      <c r="DQ213" s="1290"/>
      <c r="DR213" s="1290"/>
      <c r="DS213" s="1290"/>
      <c r="DT213" s="1290"/>
      <c r="DU213" s="1290"/>
      <c r="DV213" s="1290"/>
      <c r="DW213" s="1290"/>
      <c r="DX213" s="1290"/>
      <c r="DY213" s="1290"/>
      <c r="DZ213" s="1290"/>
      <c r="EA213" s="1290"/>
      <c r="EB213" s="1290"/>
      <c r="EC213" s="1290"/>
      <c r="ED213" s="1290"/>
      <c r="EE213" s="1290"/>
      <c r="EF213" s="1290"/>
      <c r="EG213" s="1290"/>
      <c r="EH213" s="1290"/>
      <c r="EI213" s="1290"/>
      <c r="EJ213" s="1290"/>
      <c r="EK213" s="1290"/>
      <c r="EL213" s="1290"/>
      <c r="EM213" s="1290"/>
      <c r="EN213" s="1290"/>
      <c r="EO213" s="1290"/>
      <c r="EP213" s="1290"/>
      <c r="EQ213" s="1290"/>
      <c r="ER213" s="1290"/>
      <c r="ES213" s="1290"/>
      <c r="ET213" s="1290"/>
      <c r="EU213" s="1290"/>
      <c r="EV213" s="1290"/>
      <c r="EW213" s="1290"/>
      <c r="EX213" s="1290"/>
      <c r="EY213" s="1290"/>
      <c r="EZ213" s="1290"/>
      <c r="FA213" s="1290"/>
      <c r="FB213" s="1290"/>
      <c r="FC213" s="1290"/>
      <c r="FD213" s="1290"/>
      <c r="FE213" s="1290"/>
      <c r="FF213" s="1290"/>
    </row>
    <row r="215" spans="6:162" s="1292" customFormat="1" ht="15.75" customHeight="1">
      <c r="F215" s="1290"/>
      <c r="G215" s="1290"/>
      <c r="H215" s="1290"/>
      <c r="I215" s="1290"/>
      <c r="J215" s="1290"/>
      <c r="K215" s="1290"/>
      <c r="L215" s="1290"/>
      <c r="M215" s="1290"/>
      <c r="N215" s="1290"/>
      <c r="O215" s="1290"/>
      <c r="P215" s="1290"/>
      <c r="Q215" s="1290"/>
      <c r="R215" s="1290"/>
      <c r="S215" s="1290"/>
      <c r="T215" s="1290"/>
      <c r="U215" s="1290"/>
      <c r="V215" s="1290"/>
      <c r="W215" s="1290"/>
      <c r="X215" s="1290"/>
      <c r="Y215" s="1290"/>
      <c r="AA215" s="1290"/>
      <c r="AC215" s="1290"/>
      <c r="AD215" s="1290"/>
      <c r="AE215" s="1290"/>
      <c r="AF215" s="1290"/>
      <c r="AG215" s="1290"/>
      <c r="AH215" s="1291"/>
      <c r="AI215" s="1291"/>
      <c r="AJ215" s="1290"/>
      <c r="AK215" s="1290"/>
      <c r="AL215" s="1290"/>
      <c r="AM215" s="1290"/>
      <c r="AN215" s="1290"/>
      <c r="AO215" s="1290"/>
      <c r="AP215" s="1290"/>
      <c r="AQ215" s="1290"/>
      <c r="AR215" s="1290"/>
      <c r="AS215" s="1290"/>
      <c r="AT215" s="1290"/>
      <c r="AU215" s="1290"/>
      <c r="AV215" s="1290"/>
      <c r="AW215" s="1290"/>
      <c r="AX215" s="1290"/>
      <c r="AY215" s="1290"/>
      <c r="AZ215" s="1290"/>
      <c r="BA215" s="1290"/>
      <c r="BB215" s="1290"/>
      <c r="BC215" s="1290"/>
      <c r="BD215" s="1290"/>
      <c r="BE215" s="1290"/>
      <c r="BF215" s="1290"/>
      <c r="BG215" s="1290"/>
      <c r="BH215" s="1290"/>
      <c r="BI215" s="1290"/>
      <c r="BJ215" s="1290"/>
      <c r="BK215" s="1290"/>
      <c r="BL215" s="1290"/>
      <c r="BM215" s="1290"/>
      <c r="BN215" s="1290"/>
      <c r="BO215" s="1290"/>
      <c r="BP215" s="1290"/>
      <c r="BQ215" s="1290"/>
      <c r="BR215" s="1290"/>
      <c r="BS215" s="1290"/>
      <c r="BT215" s="1290"/>
      <c r="BU215" s="1290"/>
      <c r="BV215" s="1290"/>
      <c r="BW215" s="1290"/>
      <c r="BX215" s="1290"/>
      <c r="BY215" s="1290"/>
      <c r="BZ215" s="1290"/>
      <c r="CA215" s="1290"/>
      <c r="CB215" s="1290"/>
      <c r="CC215" s="1290"/>
      <c r="CD215" s="1290"/>
      <c r="CE215" s="1290"/>
      <c r="CF215" s="1290"/>
      <c r="CG215" s="1290"/>
      <c r="CH215" s="1290"/>
      <c r="CI215" s="1290"/>
      <c r="CJ215" s="1290"/>
      <c r="CK215" s="1290"/>
      <c r="CL215" s="1290"/>
      <c r="CM215" s="1290"/>
      <c r="CN215" s="1290"/>
      <c r="CO215" s="1290"/>
      <c r="CP215" s="1290"/>
      <c r="CQ215" s="1290"/>
      <c r="CR215" s="1290"/>
      <c r="CS215" s="1290"/>
      <c r="CT215" s="1290"/>
      <c r="CU215" s="1290"/>
      <c r="CV215" s="1290"/>
      <c r="CW215" s="1290"/>
      <c r="CX215" s="1290"/>
      <c r="CY215" s="1290"/>
      <c r="CZ215" s="1290"/>
      <c r="DA215" s="1290"/>
      <c r="DB215" s="1290"/>
      <c r="DC215" s="1290"/>
      <c r="DD215" s="1290"/>
      <c r="DE215" s="1290"/>
      <c r="DF215" s="1290"/>
      <c r="DG215" s="1290"/>
      <c r="DH215" s="1290"/>
      <c r="DI215" s="1290"/>
      <c r="DJ215" s="1290"/>
      <c r="DK215" s="1290"/>
      <c r="DL215" s="1290"/>
      <c r="DM215" s="1290"/>
      <c r="DN215" s="1290"/>
      <c r="DO215" s="1290"/>
      <c r="DP215" s="1290"/>
      <c r="DQ215" s="1290"/>
      <c r="DR215" s="1290"/>
      <c r="DS215" s="1290"/>
      <c r="DT215" s="1290"/>
      <c r="DU215" s="1290"/>
      <c r="DV215" s="1290"/>
      <c r="DW215" s="1290"/>
      <c r="DX215" s="1290"/>
      <c r="DY215" s="1290"/>
      <c r="DZ215" s="1290"/>
      <c r="EA215" s="1290"/>
      <c r="EB215" s="1290"/>
      <c r="EC215" s="1290"/>
      <c r="ED215" s="1290"/>
      <c r="EE215" s="1290"/>
      <c r="EF215" s="1290"/>
      <c r="EG215" s="1290"/>
      <c r="EH215" s="1290"/>
      <c r="EI215" s="1290"/>
      <c r="EJ215" s="1290"/>
      <c r="EK215" s="1290"/>
      <c r="EL215" s="1290"/>
      <c r="EM215" s="1290"/>
      <c r="EN215" s="1290"/>
      <c r="EO215" s="1290"/>
      <c r="EP215" s="1290"/>
      <c r="EQ215" s="1290"/>
      <c r="ER215" s="1290"/>
      <c r="ES215" s="1290"/>
      <c r="ET215" s="1290"/>
      <c r="EU215" s="1290"/>
      <c r="EV215" s="1290"/>
      <c r="EW215" s="1290"/>
      <c r="EX215" s="1290"/>
      <c r="EY215" s="1290"/>
      <c r="EZ215" s="1290"/>
      <c r="FA215" s="1290"/>
      <c r="FB215" s="1290"/>
      <c r="FC215" s="1290"/>
      <c r="FD215" s="1290"/>
      <c r="FE215" s="1290"/>
      <c r="FF215" s="1290"/>
    </row>
    <row r="217" spans="6:162" s="1292" customFormat="1" ht="15.75" customHeight="1">
      <c r="F217" s="1290"/>
      <c r="G217" s="1290"/>
      <c r="H217" s="1290"/>
      <c r="I217" s="1290"/>
      <c r="J217" s="1290"/>
      <c r="K217" s="1290"/>
      <c r="L217" s="1290"/>
      <c r="M217" s="1290"/>
      <c r="N217" s="1290"/>
      <c r="O217" s="1290"/>
      <c r="P217" s="1290"/>
      <c r="Q217" s="1290"/>
      <c r="R217" s="1290"/>
      <c r="S217" s="1290"/>
      <c r="T217" s="1290"/>
      <c r="U217" s="1290"/>
      <c r="V217" s="1290"/>
      <c r="W217" s="1290"/>
      <c r="X217" s="1290"/>
      <c r="Y217" s="1290"/>
      <c r="AA217" s="1290"/>
      <c r="AC217" s="1290"/>
      <c r="AD217" s="1290"/>
      <c r="AE217" s="1290"/>
      <c r="AF217" s="1290"/>
      <c r="AG217" s="1290"/>
      <c r="AH217" s="1291"/>
      <c r="AI217" s="1291"/>
      <c r="AJ217" s="1290"/>
      <c r="AK217" s="1290"/>
      <c r="AL217" s="1290"/>
      <c r="AM217" s="1290"/>
      <c r="AN217" s="1290"/>
      <c r="AO217" s="1290"/>
      <c r="AP217" s="1290"/>
      <c r="AQ217" s="1290"/>
      <c r="AR217" s="1290"/>
      <c r="AS217" s="1290"/>
      <c r="AT217" s="1290"/>
      <c r="AU217" s="1290"/>
      <c r="AV217" s="1290"/>
      <c r="AW217" s="1290"/>
      <c r="AX217" s="1290"/>
      <c r="AY217" s="1290"/>
      <c r="AZ217" s="1290"/>
      <c r="BA217" s="1290"/>
      <c r="BB217" s="1290"/>
      <c r="BC217" s="1290"/>
      <c r="BD217" s="1290"/>
      <c r="BE217" s="1290"/>
      <c r="BF217" s="1290"/>
      <c r="BG217" s="1290"/>
      <c r="BH217" s="1290"/>
      <c r="BI217" s="1290"/>
      <c r="BJ217" s="1290"/>
      <c r="BK217" s="1290"/>
      <c r="BL217" s="1290"/>
      <c r="BM217" s="1290"/>
      <c r="BN217" s="1290"/>
      <c r="BO217" s="1290"/>
      <c r="BP217" s="1290"/>
      <c r="BQ217" s="1290"/>
      <c r="BR217" s="1290"/>
      <c r="BS217" s="1290"/>
      <c r="BT217" s="1290"/>
      <c r="BU217" s="1290"/>
      <c r="BV217" s="1290"/>
      <c r="BW217" s="1290"/>
      <c r="BX217" s="1290"/>
      <c r="BY217" s="1290"/>
      <c r="BZ217" s="1290"/>
      <c r="CA217" s="1290"/>
      <c r="CB217" s="1290"/>
      <c r="CC217" s="1290"/>
      <c r="CD217" s="1290"/>
      <c r="CE217" s="1290"/>
      <c r="CF217" s="1290"/>
      <c r="CG217" s="1290"/>
      <c r="CH217" s="1290"/>
      <c r="CI217" s="1290"/>
      <c r="CJ217" s="1290"/>
      <c r="CK217" s="1290"/>
      <c r="CL217" s="1290"/>
      <c r="CM217" s="1290"/>
      <c r="CN217" s="1290"/>
      <c r="CO217" s="1290"/>
      <c r="CP217" s="1290"/>
      <c r="CQ217" s="1290"/>
      <c r="CR217" s="1290"/>
      <c r="CS217" s="1290"/>
      <c r="CT217" s="1290"/>
      <c r="CU217" s="1290"/>
      <c r="CV217" s="1290"/>
      <c r="CW217" s="1290"/>
      <c r="CX217" s="1290"/>
      <c r="CY217" s="1290"/>
      <c r="CZ217" s="1290"/>
      <c r="DA217" s="1290"/>
      <c r="DB217" s="1290"/>
      <c r="DC217" s="1290"/>
      <c r="DD217" s="1290"/>
      <c r="DE217" s="1290"/>
      <c r="DF217" s="1290"/>
      <c r="DG217" s="1290"/>
      <c r="DH217" s="1290"/>
      <c r="DI217" s="1290"/>
      <c r="DJ217" s="1290"/>
      <c r="DK217" s="1290"/>
      <c r="DL217" s="1290"/>
      <c r="DM217" s="1290"/>
      <c r="DN217" s="1290"/>
      <c r="DO217" s="1290"/>
      <c r="DP217" s="1290"/>
      <c r="DQ217" s="1290"/>
      <c r="DR217" s="1290"/>
      <c r="DS217" s="1290"/>
      <c r="DT217" s="1290"/>
      <c r="DU217" s="1290"/>
      <c r="DV217" s="1290"/>
      <c r="DW217" s="1290"/>
      <c r="DX217" s="1290"/>
      <c r="DY217" s="1290"/>
      <c r="DZ217" s="1290"/>
      <c r="EA217" s="1290"/>
      <c r="EB217" s="1290"/>
      <c r="EC217" s="1290"/>
      <c r="ED217" s="1290"/>
      <c r="EE217" s="1290"/>
      <c r="EF217" s="1290"/>
      <c r="EG217" s="1290"/>
      <c r="EH217" s="1290"/>
      <c r="EI217" s="1290"/>
      <c r="EJ217" s="1290"/>
      <c r="EK217" s="1290"/>
      <c r="EL217" s="1290"/>
      <c r="EM217" s="1290"/>
      <c r="EN217" s="1290"/>
      <c r="EO217" s="1290"/>
      <c r="EP217" s="1290"/>
      <c r="EQ217" s="1290"/>
      <c r="ER217" s="1290"/>
      <c r="ES217" s="1290"/>
      <c r="ET217" s="1290"/>
      <c r="EU217" s="1290"/>
      <c r="EV217" s="1290"/>
      <c r="EW217" s="1290"/>
      <c r="EX217" s="1290"/>
      <c r="EY217" s="1290"/>
      <c r="EZ217" s="1290"/>
      <c r="FA217" s="1290"/>
      <c r="FB217" s="1290"/>
      <c r="FC217" s="1290"/>
      <c r="FD217" s="1290"/>
      <c r="FE217" s="1290"/>
      <c r="FF217" s="1290"/>
    </row>
    <row r="219" spans="6:162" s="1292" customFormat="1" ht="15.75" customHeight="1">
      <c r="F219" s="1290"/>
      <c r="G219" s="1290"/>
      <c r="H219" s="1290"/>
      <c r="I219" s="1290"/>
      <c r="J219" s="1290"/>
      <c r="K219" s="1290"/>
      <c r="L219" s="1290"/>
      <c r="M219" s="1290"/>
      <c r="N219" s="1290"/>
      <c r="O219" s="1290"/>
      <c r="P219" s="1290"/>
      <c r="Q219" s="1290"/>
      <c r="R219" s="1290"/>
      <c r="S219" s="1290"/>
      <c r="T219" s="1290"/>
      <c r="U219" s="1290"/>
      <c r="V219" s="1290"/>
      <c r="W219" s="1290"/>
      <c r="X219" s="1290"/>
      <c r="Y219" s="1290"/>
      <c r="AA219" s="1290"/>
      <c r="AC219" s="1290"/>
      <c r="AD219" s="1290"/>
      <c r="AE219" s="1290"/>
      <c r="AF219" s="1290"/>
      <c r="AG219" s="1290"/>
      <c r="AH219" s="1291"/>
      <c r="AI219" s="1291"/>
      <c r="AJ219" s="1290"/>
      <c r="AK219" s="1290"/>
      <c r="AL219" s="1290"/>
      <c r="AM219" s="1290"/>
      <c r="AN219" s="1290"/>
      <c r="AO219" s="1290"/>
      <c r="AP219" s="1290"/>
      <c r="AQ219" s="1290"/>
      <c r="AR219" s="1290"/>
      <c r="AS219" s="1290"/>
      <c r="AT219" s="1290"/>
      <c r="AU219" s="1290"/>
      <c r="AV219" s="1290"/>
      <c r="AW219" s="1290"/>
      <c r="AX219" s="1290"/>
      <c r="AY219" s="1290"/>
      <c r="AZ219" s="1290"/>
      <c r="BA219" s="1290"/>
      <c r="BB219" s="1290"/>
      <c r="BC219" s="1290"/>
      <c r="BD219" s="1290"/>
      <c r="BE219" s="1290"/>
      <c r="BF219" s="1290"/>
      <c r="BG219" s="1290"/>
      <c r="BH219" s="1290"/>
      <c r="BI219" s="1290"/>
      <c r="BJ219" s="1290"/>
      <c r="BK219" s="1290"/>
      <c r="BL219" s="1290"/>
      <c r="BM219" s="1290"/>
      <c r="BN219" s="1290"/>
      <c r="BO219" s="1290"/>
      <c r="BP219" s="1290"/>
      <c r="BQ219" s="1290"/>
      <c r="BR219" s="1290"/>
      <c r="BS219" s="1290"/>
      <c r="BT219" s="1290"/>
      <c r="BU219" s="1290"/>
      <c r="BV219" s="1290"/>
      <c r="BW219" s="1290"/>
      <c r="BX219" s="1290"/>
      <c r="BY219" s="1290"/>
      <c r="BZ219" s="1290"/>
      <c r="CA219" s="1290"/>
      <c r="CB219" s="1290"/>
      <c r="CC219" s="1290"/>
      <c r="CD219" s="1290"/>
      <c r="CE219" s="1290"/>
      <c r="CF219" s="1290"/>
      <c r="CG219" s="1290"/>
      <c r="CH219" s="1290"/>
      <c r="CI219" s="1290"/>
      <c r="CJ219" s="1290"/>
      <c r="CK219" s="1290"/>
      <c r="CL219" s="1290"/>
      <c r="CM219" s="1290"/>
      <c r="CN219" s="1290"/>
      <c r="CO219" s="1290"/>
      <c r="CP219" s="1290"/>
      <c r="CQ219" s="1290"/>
      <c r="CR219" s="1290"/>
      <c r="CS219" s="1290"/>
      <c r="CT219" s="1290"/>
      <c r="CU219" s="1290"/>
      <c r="CV219" s="1290"/>
      <c r="CW219" s="1290"/>
      <c r="CX219" s="1290"/>
      <c r="CY219" s="1290"/>
      <c r="CZ219" s="1290"/>
      <c r="DA219" s="1290"/>
      <c r="DB219" s="1290"/>
      <c r="DC219" s="1290"/>
      <c r="DD219" s="1290"/>
      <c r="DE219" s="1290"/>
      <c r="DF219" s="1290"/>
      <c r="DG219" s="1290"/>
      <c r="DH219" s="1290"/>
      <c r="DI219" s="1290"/>
      <c r="DJ219" s="1290"/>
      <c r="DK219" s="1290"/>
      <c r="DL219" s="1290"/>
      <c r="DM219" s="1290"/>
      <c r="DN219" s="1290"/>
      <c r="DO219" s="1290"/>
      <c r="DP219" s="1290"/>
      <c r="DQ219" s="1290"/>
      <c r="DR219" s="1290"/>
      <c r="DS219" s="1290"/>
      <c r="DT219" s="1290"/>
      <c r="DU219" s="1290"/>
      <c r="DV219" s="1290"/>
      <c r="DW219" s="1290"/>
      <c r="DX219" s="1290"/>
      <c r="DY219" s="1290"/>
      <c r="DZ219" s="1290"/>
      <c r="EA219" s="1290"/>
      <c r="EB219" s="1290"/>
      <c r="EC219" s="1290"/>
      <c r="ED219" s="1290"/>
      <c r="EE219" s="1290"/>
      <c r="EF219" s="1290"/>
      <c r="EG219" s="1290"/>
      <c r="EH219" s="1290"/>
      <c r="EI219" s="1290"/>
      <c r="EJ219" s="1290"/>
      <c r="EK219" s="1290"/>
      <c r="EL219" s="1290"/>
      <c r="EM219" s="1290"/>
      <c r="EN219" s="1290"/>
      <c r="EO219" s="1290"/>
      <c r="EP219" s="1290"/>
      <c r="EQ219" s="1290"/>
      <c r="ER219" s="1290"/>
      <c r="ES219" s="1290"/>
      <c r="ET219" s="1290"/>
      <c r="EU219" s="1290"/>
      <c r="EV219" s="1290"/>
      <c r="EW219" s="1290"/>
      <c r="EX219" s="1290"/>
      <c r="EY219" s="1290"/>
      <c r="EZ219" s="1290"/>
      <c r="FA219" s="1290"/>
      <c r="FB219" s="1290"/>
      <c r="FC219" s="1290"/>
      <c r="FD219" s="1290"/>
      <c r="FE219" s="1290"/>
      <c r="FF219" s="1290"/>
    </row>
    <row r="221" spans="6:162" s="1292" customFormat="1" ht="15.75" customHeight="1">
      <c r="F221" s="1290"/>
      <c r="G221" s="1290"/>
      <c r="H221" s="1290"/>
      <c r="I221" s="1290"/>
      <c r="J221" s="1290"/>
      <c r="K221" s="1290"/>
      <c r="L221" s="1290"/>
      <c r="M221" s="1290"/>
      <c r="N221" s="1290"/>
      <c r="O221" s="1290"/>
      <c r="P221" s="1290"/>
      <c r="Q221" s="1290"/>
      <c r="R221" s="1290"/>
      <c r="S221" s="1290"/>
      <c r="T221" s="1290"/>
      <c r="U221" s="1290"/>
      <c r="V221" s="1290"/>
      <c r="W221" s="1290"/>
      <c r="X221" s="1290"/>
      <c r="Y221" s="1290"/>
      <c r="AA221" s="1290"/>
      <c r="AC221" s="1290"/>
      <c r="AD221" s="1290"/>
      <c r="AE221" s="1290"/>
      <c r="AF221" s="1290"/>
      <c r="AG221" s="1290"/>
      <c r="AH221" s="1291"/>
      <c r="AI221" s="1291"/>
      <c r="AJ221" s="1290"/>
      <c r="AK221" s="1290"/>
      <c r="AL221" s="1290"/>
      <c r="AM221" s="1290"/>
      <c r="AN221" s="1290"/>
      <c r="AO221" s="1290"/>
      <c r="AP221" s="1290"/>
      <c r="AQ221" s="1290"/>
      <c r="AR221" s="1290"/>
      <c r="AS221" s="1290"/>
      <c r="AT221" s="1290"/>
      <c r="AU221" s="1290"/>
      <c r="AV221" s="1290"/>
      <c r="AW221" s="1290"/>
      <c r="AX221" s="1290"/>
      <c r="AY221" s="1290"/>
      <c r="AZ221" s="1290"/>
      <c r="BA221" s="1290"/>
      <c r="BB221" s="1290"/>
      <c r="BC221" s="1290"/>
      <c r="BD221" s="1290"/>
      <c r="BE221" s="1290"/>
      <c r="BF221" s="1290"/>
      <c r="BG221" s="1290"/>
      <c r="BH221" s="1290"/>
      <c r="BI221" s="1290"/>
      <c r="BJ221" s="1290"/>
      <c r="BK221" s="1290"/>
      <c r="BL221" s="1290"/>
      <c r="BM221" s="1290"/>
      <c r="BN221" s="1290"/>
      <c r="BO221" s="1290"/>
      <c r="BP221" s="1290"/>
      <c r="BQ221" s="1290"/>
      <c r="BR221" s="1290"/>
      <c r="BS221" s="1290"/>
      <c r="BT221" s="1290"/>
      <c r="BU221" s="1290"/>
      <c r="BV221" s="1290"/>
      <c r="BW221" s="1290"/>
      <c r="BX221" s="1290"/>
      <c r="BY221" s="1290"/>
      <c r="BZ221" s="1290"/>
      <c r="CA221" s="1290"/>
      <c r="CB221" s="1290"/>
      <c r="CC221" s="1290"/>
      <c r="CD221" s="1290"/>
      <c r="CE221" s="1290"/>
      <c r="CF221" s="1290"/>
      <c r="CG221" s="1290"/>
      <c r="CH221" s="1290"/>
      <c r="CI221" s="1290"/>
      <c r="CJ221" s="1290"/>
      <c r="CK221" s="1290"/>
      <c r="CL221" s="1290"/>
      <c r="CM221" s="1290"/>
      <c r="CN221" s="1290"/>
      <c r="CO221" s="1290"/>
      <c r="CP221" s="1290"/>
      <c r="CQ221" s="1290"/>
      <c r="CR221" s="1290"/>
      <c r="CS221" s="1290"/>
      <c r="CT221" s="1290"/>
      <c r="CU221" s="1290"/>
      <c r="CV221" s="1290"/>
      <c r="CW221" s="1290"/>
      <c r="CX221" s="1290"/>
      <c r="CY221" s="1290"/>
      <c r="CZ221" s="1290"/>
      <c r="DA221" s="1290"/>
      <c r="DB221" s="1290"/>
      <c r="DC221" s="1290"/>
      <c r="DD221" s="1290"/>
      <c r="DE221" s="1290"/>
      <c r="DF221" s="1290"/>
      <c r="DG221" s="1290"/>
      <c r="DH221" s="1290"/>
      <c r="DI221" s="1290"/>
      <c r="DJ221" s="1290"/>
      <c r="DK221" s="1290"/>
      <c r="DL221" s="1290"/>
      <c r="DM221" s="1290"/>
      <c r="DN221" s="1290"/>
      <c r="DO221" s="1290"/>
      <c r="DP221" s="1290"/>
      <c r="DQ221" s="1290"/>
      <c r="DR221" s="1290"/>
      <c r="DS221" s="1290"/>
      <c r="DT221" s="1290"/>
      <c r="DU221" s="1290"/>
      <c r="DV221" s="1290"/>
      <c r="DW221" s="1290"/>
      <c r="DX221" s="1290"/>
      <c r="DY221" s="1290"/>
      <c r="DZ221" s="1290"/>
      <c r="EA221" s="1290"/>
      <c r="EB221" s="1290"/>
      <c r="EC221" s="1290"/>
      <c r="ED221" s="1290"/>
      <c r="EE221" s="1290"/>
      <c r="EF221" s="1290"/>
      <c r="EG221" s="1290"/>
      <c r="EH221" s="1290"/>
      <c r="EI221" s="1290"/>
      <c r="EJ221" s="1290"/>
      <c r="EK221" s="1290"/>
      <c r="EL221" s="1290"/>
      <c r="EM221" s="1290"/>
      <c r="EN221" s="1290"/>
      <c r="EO221" s="1290"/>
      <c r="EP221" s="1290"/>
      <c r="EQ221" s="1290"/>
      <c r="ER221" s="1290"/>
      <c r="ES221" s="1290"/>
      <c r="ET221" s="1290"/>
      <c r="EU221" s="1290"/>
      <c r="EV221" s="1290"/>
      <c r="EW221" s="1290"/>
      <c r="EX221" s="1290"/>
      <c r="EY221" s="1290"/>
      <c r="EZ221" s="1290"/>
      <c r="FA221" s="1290"/>
      <c r="FB221" s="1290"/>
      <c r="FC221" s="1290"/>
      <c r="FD221" s="1290"/>
      <c r="FE221" s="1290"/>
      <c r="FF221" s="1290"/>
    </row>
    <row r="223" spans="6:162" s="1292" customFormat="1" ht="15.75" customHeight="1">
      <c r="F223" s="1290"/>
      <c r="G223" s="1290"/>
      <c r="H223" s="1290"/>
      <c r="I223" s="1290"/>
      <c r="J223" s="1290"/>
      <c r="K223" s="1290"/>
      <c r="L223" s="1290"/>
      <c r="M223" s="1290"/>
      <c r="N223" s="1290"/>
      <c r="O223" s="1290"/>
      <c r="P223" s="1290"/>
      <c r="Q223" s="1290"/>
      <c r="R223" s="1290"/>
      <c r="S223" s="1290"/>
      <c r="T223" s="1290"/>
      <c r="U223" s="1290"/>
      <c r="V223" s="1290"/>
      <c r="W223" s="1290"/>
      <c r="X223" s="1290"/>
      <c r="Y223" s="1290"/>
      <c r="AA223" s="1290"/>
      <c r="AC223" s="1290"/>
      <c r="AD223" s="1290"/>
      <c r="AE223" s="1290"/>
      <c r="AF223" s="1290"/>
      <c r="AG223" s="1290"/>
      <c r="AH223" s="1291"/>
      <c r="AI223" s="1291"/>
      <c r="AJ223" s="1290"/>
      <c r="AK223" s="1290"/>
      <c r="AL223" s="1290"/>
      <c r="AM223" s="1290"/>
      <c r="AN223" s="1290"/>
      <c r="AO223" s="1290"/>
      <c r="AP223" s="1290"/>
      <c r="AQ223" s="1290"/>
      <c r="AR223" s="1290"/>
      <c r="AS223" s="1290"/>
      <c r="AT223" s="1290"/>
      <c r="AU223" s="1290"/>
      <c r="AV223" s="1290"/>
      <c r="AW223" s="1290"/>
      <c r="AX223" s="1290"/>
      <c r="AY223" s="1290"/>
      <c r="AZ223" s="1290"/>
      <c r="BA223" s="1290"/>
      <c r="BB223" s="1290"/>
      <c r="BC223" s="1290"/>
      <c r="BD223" s="1290"/>
      <c r="BE223" s="1290"/>
      <c r="BF223" s="1290"/>
      <c r="BG223" s="1290"/>
      <c r="BH223" s="1290"/>
      <c r="BI223" s="1290"/>
      <c r="BJ223" s="1290"/>
      <c r="BK223" s="1290"/>
      <c r="BL223" s="1290"/>
      <c r="BM223" s="1290"/>
      <c r="BN223" s="1290"/>
      <c r="BO223" s="1290"/>
      <c r="BP223" s="1290"/>
      <c r="BQ223" s="1290"/>
      <c r="BR223" s="1290"/>
      <c r="BS223" s="1290"/>
      <c r="BT223" s="1290"/>
      <c r="BU223" s="1290"/>
      <c r="BV223" s="1290"/>
      <c r="BW223" s="1290"/>
      <c r="BX223" s="1290"/>
      <c r="BY223" s="1290"/>
      <c r="BZ223" s="1290"/>
      <c r="CA223" s="1290"/>
      <c r="CB223" s="1290"/>
      <c r="CC223" s="1290"/>
      <c r="CD223" s="1290"/>
      <c r="CE223" s="1290"/>
      <c r="CF223" s="1290"/>
      <c r="CG223" s="1290"/>
      <c r="CH223" s="1290"/>
      <c r="CI223" s="1290"/>
      <c r="CJ223" s="1290"/>
      <c r="CK223" s="1290"/>
      <c r="CL223" s="1290"/>
      <c r="CM223" s="1290"/>
      <c r="CN223" s="1290"/>
      <c r="CO223" s="1290"/>
      <c r="CP223" s="1290"/>
      <c r="CQ223" s="1290"/>
      <c r="CR223" s="1290"/>
      <c r="CS223" s="1290"/>
      <c r="CT223" s="1290"/>
      <c r="CU223" s="1290"/>
      <c r="CV223" s="1290"/>
      <c r="CW223" s="1290"/>
      <c r="CX223" s="1290"/>
      <c r="CY223" s="1290"/>
      <c r="CZ223" s="1290"/>
      <c r="DA223" s="1290"/>
      <c r="DB223" s="1290"/>
      <c r="DC223" s="1290"/>
      <c r="DD223" s="1290"/>
      <c r="DE223" s="1290"/>
      <c r="DF223" s="1290"/>
      <c r="DG223" s="1290"/>
      <c r="DH223" s="1290"/>
      <c r="DI223" s="1290"/>
      <c r="DJ223" s="1290"/>
      <c r="DK223" s="1290"/>
      <c r="DL223" s="1290"/>
      <c r="DM223" s="1290"/>
      <c r="DN223" s="1290"/>
      <c r="DO223" s="1290"/>
      <c r="DP223" s="1290"/>
      <c r="DQ223" s="1290"/>
      <c r="DR223" s="1290"/>
      <c r="DS223" s="1290"/>
      <c r="DT223" s="1290"/>
      <c r="DU223" s="1290"/>
      <c r="DV223" s="1290"/>
      <c r="DW223" s="1290"/>
      <c r="DX223" s="1290"/>
      <c r="DY223" s="1290"/>
      <c r="DZ223" s="1290"/>
      <c r="EA223" s="1290"/>
      <c r="EB223" s="1290"/>
      <c r="EC223" s="1290"/>
      <c r="ED223" s="1290"/>
      <c r="EE223" s="1290"/>
      <c r="EF223" s="1290"/>
      <c r="EG223" s="1290"/>
      <c r="EH223" s="1290"/>
      <c r="EI223" s="1290"/>
      <c r="EJ223" s="1290"/>
      <c r="EK223" s="1290"/>
      <c r="EL223" s="1290"/>
      <c r="EM223" s="1290"/>
      <c r="EN223" s="1290"/>
      <c r="EO223" s="1290"/>
      <c r="EP223" s="1290"/>
      <c r="EQ223" s="1290"/>
      <c r="ER223" s="1290"/>
      <c r="ES223" s="1290"/>
      <c r="ET223" s="1290"/>
      <c r="EU223" s="1290"/>
      <c r="EV223" s="1290"/>
      <c r="EW223" s="1290"/>
      <c r="EX223" s="1290"/>
      <c r="EY223" s="1290"/>
      <c r="EZ223" s="1290"/>
      <c r="FA223" s="1290"/>
      <c r="FB223" s="1290"/>
      <c r="FC223" s="1290"/>
      <c r="FD223" s="1290"/>
      <c r="FE223" s="1290"/>
      <c r="FF223" s="1290"/>
    </row>
    <row r="225" spans="6:162" s="1292" customFormat="1" ht="15.75" customHeight="1">
      <c r="F225" s="1290"/>
      <c r="G225" s="1290"/>
      <c r="H225" s="1290"/>
      <c r="I225" s="1290"/>
      <c r="J225" s="1290"/>
      <c r="K225" s="1290"/>
      <c r="L225" s="1290"/>
      <c r="M225" s="1290"/>
      <c r="N225" s="1290"/>
      <c r="O225" s="1290"/>
      <c r="P225" s="1290"/>
      <c r="Q225" s="1290"/>
      <c r="R225" s="1290"/>
      <c r="S225" s="1290"/>
      <c r="T225" s="1290"/>
      <c r="U225" s="1290"/>
      <c r="V225" s="1290"/>
      <c r="W225" s="1290"/>
      <c r="X225" s="1290"/>
      <c r="Y225" s="1290"/>
      <c r="AA225" s="1290"/>
      <c r="AC225" s="1290"/>
      <c r="AD225" s="1290"/>
      <c r="AE225" s="1290"/>
      <c r="AF225" s="1290"/>
      <c r="AG225" s="1290"/>
      <c r="AH225" s="1291"/>
      <c r="AI225" s="1291"/>
      <c r="AJ225" s="1290"/>
      <c r="AK225" s="1290"/>
      <c r="AL225" s="1290"/>
      <c r="AM225" s="1290"/>
      <c r="AN225" s="1290"/>
      <c r="AO225" s="1290"/>
      <c r="AP225" s="1290"/>
      <c r="AQ225" s="1290"/>
      <c r="AR225" s="1290"/>
      <c r="AS225" s="1290"/>
      <c r="AT225" s="1290"/>
      <c r="AU225" s="1290"/>
      <c r="AV225" s="1290"/>
      <c r="AW225" s="1290"/>
      <c r="AX225" s="1290"/>
      <c r="AY225" s="1290"/>
      <c r="AZ225" s="1290"/>
      <c r="BA225" s="1290"/>
      <c r="BB225" s="1290"/>
      <c r="BC225" s="1290"/>
      <c r="BD225" s="1290"/>
      <c r="BE225" s="1290"/>
      <c r="BF225" s="1290"/>
      <c r="BG225" s="1290"/>
      <c r="BH225" s="1290"/>
      <c r="BI225" s="1290"/>
      <c r="BJ225" s="1290"/>
      <c r="BK225" s="1290"/>
      <c r="BL225" s="1290"/>
      <c r="BM225" s="1290"/>
      <c r="BN225" s="1290"/>
      <c r="BO225" s="1290"/>
      <c r="BP225" s="1290"/>
      <c r="BQ225" s="1290"/>
      <c r="BR225" s="1290"/>
      <c r="BS225" s="1290"/>
      <c r="BT225" s="1290"/>
      <c r="BU225" s="1290"/>
      <c r="BV225" s="1290"/>
      <c r="BW225" s="1290"/>
      <c r="BX225" s="1290"/>
      <c r="BY225" s="1290"/>
      <c r="BZ225" s="1290"/>
      <c r="CA225" s="1290"/>
      <c r="CB225" s="1290"/>
      <c r="CC225" s="1290"/>
      <c r="CD225" s="1290"/>
      <c r="CE225" s="1290"/>
      <c r="CF225" s="1290"/>
      <c r="CG225" s="1290"/>
      <c r="CH225" s="1290"/>
      <c r="CI225" s="1290"/>
      <c r="CJ225" s="1290"/>
      <c r="CK225" s="1290"/>
      <c r="CL225" s="1290"/>
      <c r="CM225" s="1290"/>
      <c r="CN225" s="1290"/>
      <c r="CO225" s="1290"/>
      <c r="CP225" s="1290"/>
      <c r="CQ225" s="1290"/>
      <c r="CR225" s="1290"/>
      <c r="CS225" s="1290"/>
      <c r="CT225" s="1290"/>
      <c r="CU225" s="1290"/>
      <c r="CV225" s="1290"/>
      <c r="CW225" s="1290"/>
      <c r="CX225" s="1290"/>
      <c r="CY225" s="1290"/>
      <c r="CZ225" s="1290"/>
      <c r="DA225" s="1290"/>
      <c r="DB225" s="1290"/>
      <c r="DC225" s="1290"/>
      <c r="DD225" s="1290"/>
      <c r="DE225" s="1290"/>
      <c r="DF225" s="1290"/>
      <c r="DG225" s="1290"/>
      <c r="DH225" s="1290"/>
      <c r="DI225" s="1290"/>
      <c r="DJ225" s="1290"/>
      <c r="DK225" s="1290"/>
      <c r="DL225" s="1290"/>
      <c r="DM225" s="1290"/>
      <c r="DN225" s="1290"/>
      <c r="DO225" s="1290"/>
      <c r="DP225" s="1290"/>
      <c r="DQ225" s="1290"/>
      <c r="DR225" s="1290"/>
      <c r="DS225" s="1290"/>
      <c r="DT225" s="1290"/>
      <c r="DU225" s="1290"/>
      <c r="DV225" s="1290"/>
      <c r="DW225" s="1290"/>
      <c r="DX225" s="1290"/>
      <c r="DY225" s="1290"/>
      <c r="DZ225" s="1290"/>
      <c r="EA225" s="1290"/>
      <c r="EB225" s="1290"/>
      <c r="EC225" s="1290"/>
      <c r="ED225" s="1290"/>
      <c r="EE225" s="1290"/>
      <c r="EF225" s="1290"/>
      <c r="EG225" s="1290"/>
      <c r="EH225" s="1290"/>
      <c r="EI225" s="1290"/>
      <c r="EJ225" s="1290"/>
      <c r="EK225" s="1290"/>
      <c r="EL225" s="1290"/>
      <c r="EM225" s="1290"/>
      <c r="EN225" s="1290"/>
      <c r="EO225" s="1290"/>
      <c r="EP225" s="1290"/>
      <c r="EQ225" s="1290"/>
      <c r="ER225" s="1290"/>
      <c r="ES225" s="1290"/>
      <c r="ET225" s="1290"/>
      <c r="EU225" s="1290"/>
      <c r="EV225" s="1290"/>
      <c r="EW225" s="1290"/>
      <c r="EX225" s="1290"/>
      <c r="EY225" s="1290"/>
      <c r="EZ225" s="1290"/>
      <c r="FA225" s="1290"/>
      <c r="FB225" s="1290"/>
      <c r="FC225" s="1290"/>
      <c r="FD225" s="1290"/>
      <c r="FE225" s="1290"/>
      <c r="FF225" s="1290"/>
    </row>
    <row r="227" spans="6:162" s="1292" customFormat="1" ht="15.75" customHeight="1">
      <c r="F227" s="1290"/>
      <c r="G227" s="1290"/>
      <c r="H227" s="1290"/>
      <c r="I227" s="1290"/>
      <c r="J227" s="1290"/>
      <c r="K227" s="1290"/>
      <c r="L227" s="1290"/>
      <c r="M227" s="1290"/>
      <c r="N227" s="1290"/>
      <c r="O227" s="1290"/>
      <c r="P227" s="1290"/>
      <c r="Q227" s="1290"/>
      <c r="R227" s="1290"/>
      <c r="S227" s="1290"/>
      <c r="T227" s="1290"/>
      <c r="U227" s="1290"/>
      <c r="V227" s="1290"/>
      <c r="W227" s="1290"/>
      <c r="X227" s="1290"/>
      <c r="Y227" s="1290"/>
      <c r="AA227" s="1290"/>
      <c r="AC227" s="1290"/>
      <c r="AD227" s="1290"/>
      <c r="AE227" s="1290"/>
      <c r="AF227" s="1290"/>
      <c r="AG227" s="1290"/>
      <c r="AH227" s="1291"/>
      <c r="AI227" s="1291"/>
      <c r="AJ227" s="1290"/>
      <c r="AK227" s="1290"/>
      <c r="AL227" s="1290"/>
      <c r="AM227" s="1290"/>
      <c r="AN227" s="1290"/>
      <c r="AO227" s="1290"/>
      <c r="AP227" s="1290"/>
      <c r="AQ227" s="1290"/>
      <c r="AR227" s="1290"/>
      <c r="AS227" s="1290"/>
      <c r="AT227" s="1290"/>
      <c r="AU227" s="1290"/>
      <c r="AV227" s="1290"/>
      <c r="AW227" s="1290"/>
      <c r="AX227" s="1290"/>
      <c r="AY227" s="1290"/>
      <c r="AZ227" s="1290"/>
      <c r="BA227" s="1290"/>
      <c r="BB227" s="1290"/>
      <c r="BC227" s="1290"/>
      <c r="BD227" s="1290"/>
      <c r="BE227" s="1290"/>
      <c r="BF227" s="1290"/>
      <c r="BG227" s="1290"/>
      <c r="BH227" s="1290"/>
      <c r="BI227" s="1290"/>
      <c r="BJ227" s="1290"/>
      <c r="BK227" s="1290"/>
      <c r="BL227" s="1290"/>
      <c r="BM227" s="1290"/>
      <c r="BN227" s="1290"/>
      <c r="BO227" s="1290"/>
      <c r="BP227" s="1290"/>
      <c r="BQ227" s="1290"/>
      <c r="BR227" s="1290"/>
      <c r="BS227" s="1290"/>
      <c r="BT227" s="1290"/>
      <c r="BU227" s="1290"/>
      <c r="BV227" s="1290"/>
      <c r="BW227" s="1290"/>
      <c r="BX227" s="1290"/>
      <c r="BY227" s="1290"/>
      <c r="BZ227" s="1290"/>
      <c r="CA227" s="1290"/>
      <c r="CB227" s="1290"/>
      <c r="CC227" s="1290"/>
      <c r="CD227" s="1290"/>
      <c r="CE227" s="1290"/>
      <c r="CF227" s="1290"/>
      <c r="CG227" s="1290"/>
      <c r="CH227" s="1290"/>
      <c r="CI227" s="1290"/>
      <c r="CJ227" s="1290"/>
      <c r="CK227" s="1290"/>
      <c r="CL227" s="1290"/>
      <c r="CM227" s="1290"/>
      <c r="CN227" s="1290"/>
      <c r="CO227" s="1290"/>
      <c r="CP227" s="1290"/>
      <c r="CQ227" s="1290"/>
      <c r="CR227" s="1290"/>
      <c r="CS227" s="1290"/>
      <c r="CT227" s="1290"/>
      <c r="CU227" s="1290"/>
      <c r="CV227" s="1290"/>
      <c r="CW227" s="1290"/>
      <c r="CX227" s="1290"/>
      <c r="CY227" s="1290"/>
      <c r="CZ227" s="1290"/>
      <c r="DA227" s="1290"/>
      <c r="DB227" s="1290"/>
      <c r="DC227" s="1290"/>
      <c r="DD227" s="1290"/>
      <c r="DE227" s="1290"/>
      <c r="DF227" s="1290"/>
      <c r="DG227" s="1290"/>
      <c r="DH227" s="1290"/>
      <c r="DI227" s="1290"/>
      <c r="DJ227" s="1290"/>
      <c r="DK227" s="1290"/>
      <c r="DL227" s="1290"/>
      <c r="DM227" s="1290"/>
      <c r="DN227" s="1290"/>
      <c r="DO227" s="1290"/>
      <c r="DP227" s="1290"/>
      <c r="DQ227" s="1290"/>
      <c r="DR227" s="1290"/>
      <c r="DS227" s="1290"/>
      <c r="DT227" s="1290"/>
      <c r="DU227" s="1290"/>
      <c r="DV227" s="1290"/>
      <c r="DW227" s="1290"/>
      <c r="DX227" s="1290"/>
      <c r="DY227" s="1290"/>
      <c r="DZ227" s="1290"/>
      <c r="EA227" s="1290"/>
      <c r="EB227" s="1290"/>
      <c r="EC227" s="1290"/>
      <c r="ED227" s="1290"/>
      <c r="EE227" s="1290"/>
      <c r="EF227" s="1290"/>
      <c r="EG227" s="1290"/>
      <c r="EH227" s="1290"/>
      <c r="EI227" s="1290"/>
      <c r="EJ227" s="1290"/>
      <c r="EK227" s="1290"/>
      <c r="EL227" s="1290"/>
      <c r="EM227" s="1290"/>
      <c r="EN227" s="1290"/>
      <c r="EO227" s="1290"/>
      <c r="EP227" s="1290"/>
      <c r="EQ227" s="1290"/>
      <c r="ER227" s="1290"/>
      <c r="ES227" s="1290"/>
      <c r="ET227" s="1290"/>
      <c r="EU227" s="1290"/>
      <c r="EV227" s="1290"/>
      <c r="EW227" s="1290"/>
      <c r="EX227" s="1290"/>
      <c r="EY227" s="1290"/>
      <c r="EZ227" s="1290"/>
      <c r="FA227" s="1290"/>
      <c r="FB227" s="1290"/>
      <c r="FC227" s="1290"/>
      <c r="FD227" s="1290"/>
      <c r="FE227" s="1290"/>
      <c r="FF227" s="1290"/>
    </row>
    <row r="229" spans="6:162" s="1292" customFormat="1" ht="15.75" customHeight="1">
      <c r="F229" s="1290"/>
      <c r="G229" s="1290"/>
      <c r="H229" s="1290"/>
      <c r="I229" s="1290"/>
      <c r="J229" s="1290"/>
      <c r="K229" s="1290"/>
      <c r="L229" s="1290"/>
      <c r="M229" s="1290"/>
      <c r="N229" s="1290"/>
      <c r="O229" s="1290"/>
      <c r="P229" s="1290"/>
      <c r="Q229" s="1290"/>
      <c r="R229" s="1290"/>
      <c r="S229" s="1290"/>
      <c r="T229" s="1290"/>
      <c r="U229" s="1290"/>
      <c r="V229" s="1290"/>
      <c r="W229" s="1290"/>
      <c r="X229" s="1290"/>
      <c r="Y229" s="1290"/>
      <c r="AA229" s="1290"/>
      <c r="AC229" s="1290"/>
      <c r="AD229" s="1290"/>
      <c r="AE229" s="1290"/>
      <c r="AF229" s="1290"/>
      <c r="AG229" s="1290"/>
      <c r="AH229" s="1291"/>
      <c r="AI229" s="1291"/>
      <c r="AJ229" s="1290"/>
      <c r="AK229" s="1290"/>
      <c r="AL229" s="1290"/>
      <c r="AM229" s="1290"/>
      <c r="AN229" s="1290"/>
      <c r="AO229" s="1290"/>
      <c r="AP229" s="1290"/>
      <c r="AQ229" s="1290"/>
      <c r="AR229" s="1290"/>
      <c r="AS229" s="1290"/>
      <c r="AT229" s="1290"/>
      <c r="AU229" s="1290"/>
      <c r="AV229" s="1290"/>
      <c r="AW229" s="1290"/>
      <c r="AX229" s="1290"/>
      <c r="AY229" s="1290"/>
      <c r="AZ229" s="1290"/>
      <c r="BA229" s="1290"/>
      <c r="BB229" s="1290"/>
      <c r="BC229" s="1290"/>
      <c r="BD229" s="1290"/>
      <c r="BE229" s="1290"/>
      <c r="BF229" s="1290"/>
      <c r="BG229" s="1290"/>
      <c r="BH229" s="1290"/>
      <c r="BI229" s="1290"/>
      <c r="BJ229" s="1290"/>
      <c r="BK229" s="1290"/>
      <c r="BL229" s="1290"/>
      <c r="BM229" s="1290"/>
      <c r="BN229" s="1290"/>
      <c r="BO229" s="1290"/>
      <c r="BP229" s="1290"/>
      <c r="BQ229" s="1290"/>
      <c r="BR229" s="1290"/>
      <c r="BS229" s="1290"/>
      <c r="BT229" s="1290"/>
      <c r="BU229" s="1290"/>
      <c r="BV229" s="1290"/>
      <c r="BW229" s="1290"/>
      <c r="BX229" s="1290"/>
      <c r="BY229" s="1290"/>
      <c r="BZ229" s="1290"/>
      <c r="CA229" s="1290"/>
      <c r="CB229" s="1290"/>
      <c r="CC229" s="1290"/>
      <c r="CD229" s="1290"/>
      <c r="CE229" s="1290"/>
      <c r="CF229" s="1290"/>
      <c r="CG229" s="1290"/>
      <c r="CH229" s="1290"/>
      <c r="CI229" s="1290"/>
      <c r="CJ229" s="1290"/>
      <c r="CK229" s="1290"/>
      <c r="CL229" s="1290"/>
      <c r="CM229" s="1290"/>
      <c r="CN229" s="1290"/>
      <c r="CO229" s="1290"/>
      <c r="CP229" s="1290"/>
      <c r="CQ229" s="1290"/>
      <c r="CR229" s="1290"/>
      <c r="CS229" s="1290"/>
      <c r="CT229" s="1290"/>
      <c r="CU229" s="1290"/>
      <c r="CV229" s="1290"/>
      <c r="CW229" s="1290"/>
      <c r="CX229" s="1290"/>
      <c r="CY229" s="1290"/>
      <c r="CZ229" s="1290"/>
      <c r="DA229" s="1290"/>
      <c r="DB229" s="1290"/>
      <c r="DC229" s="1290"/>
      <c r="DD229" s="1290"/>
      <c r="DE229" s="1290"/>
      <c r="DF229" s="1290"/>
      <c r="DG229" s="1290"/>
      <c r="DH229" s="1290"/>
      <c r="DI229" s="1290"/>
      <c r="DJ229" s="1290"/>
      <c r="DK229" s="1290"/>
      <c r="DL229" s="1290"/>
      <c r="DM229" s="1290"/>
      <c r="DN229" s="1290"/>
      <c r="DO229" s="1290"/>
      <c r="DP229" s="1290"/>
      <c r="DQ229" s="1290"/>
      <c r="DR229" s="1290"/>
      <c r="DS229" s="1290"/>
      <c r="DT229" s="1290"/>
      <c r="DU229" s="1290"/>
      <c r="DV229" s="1290"/>
      <c r="DW229" s="1290"/>
      <c r="DX229" s="1290"/>
      <c r="DY229" s="1290"/>
      <c r="DZ229" s="1290"/>
      <c r="EA229" s="1290"/>
      <c r="EB229" s="1290"/>
      <c r="EC229" s="1290"/>
      <c r="ED229" s="1290"/>
      <c r="EE229" s="1290"/>
      <c r="EF229" s="1290"/>
      <c r="EG229" s="1290"/>
      <c r="EH229" s="1290"/>
      <c r="EI229" s="1290"/>
      <c r="EJ229" s="1290"/>
      <c r="EK229" s="1290"/>
      <c r="EL229" s="1290"/>
      <c r="EM229" s="1290"/>
      <c r="EN229" s="1290"/>
      <c r="EO229" s="1290"/>
      <c r="EP229" s="1290"/>
      <c r="EQ229" s="1290"/>
      <c r="ER229" s="1290"/>
      <c r="ES229" s="1290"/>
      <c r="ET229" s="1290"/>
      <c r="EU229" s="1290"/>
      <c r="EV229" s="1290"/>
      <c r="EW229" s="1290"/>
      <c r="EX229" s="1290"/>
      <c r="EY229" s="1290"/>
      <c r="EZ229" s="1290"/>
      <c r="FA229" s="1290"/>
      <c r="FB229" s="1290"/>
      <c r="FC229" s="1290"/>
      <c r="FD229" s="1290"/>
      <c r="FE229" s="1290"/>
      <c r="FF229" s="1290"/>
    </row>
    <row r="231" spans="6:162" s="1292" customFormat="1" ht="15.75" customHeight="1">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AA231" s="1290"/>
      <c r="AC231" s="1290"/>
      <c r="AD231" s="1290"/>
      <c r="AE231" s="1290"/>
      <c r="AF231" s="1290"/>
      <c r="AG231" s="1290"/>
      <c r="AH231" s="1291"/>
      <c r="AI231" s="1291"/>
      <c r="AJ231" s="1290"/>
      <c r="AK231" s="1290"/>
      <c r="AL231" s="1290"/>
      <c r="AM231" s="1290"/>
      <c r="AN231" s="1290"/>
      <c r="AO231" s="1290"/>
      <c r="AP231" s="1290"/>
      <c r="AQ231" s="1290"/>
      <c r="AR231" s="1290"/>
      <c r="AS231" s="1290"/>
      <c r="AT231" s="1290"/>
      <c r="AU231" s="1290"/>
      <c r="AV231" s="1290"/>
      <c r="AW231" s="1290"/>
      <c r="AX231" s="1290"/>
      <c r="AY231" s="1290"/>
      <c r="AZ231" s="1290"/>
      <c r="BA231" s="1290"/>
      <c r="BB231" s="1290"/>
      <c r="BC231" s="1290"/>
      <c r="BD231" s="1290"/>
      <c r="BE231" s="1290"/>
      <c r="BF231" s="1290"/>
      <c r="BG231" s="1290"/>
      <c r="BH231" s="1290"/>
      <c r="BI231" s="1290"/>
      <c r="BJ231" s="1290"/>
      <c r="BK231" s="1290"/>
      <c r="BL231" s="1290"/>
      <c r="BM231" s="1290"/>
      <c r="BN231" s="1290"/>
      <c r="BO231" s="1290"/>
      <c r="BP231" s="1290"/>
      <c r="BQ231" s="1290"/>
      <c r="BR231" s="1290"/>
      <c r="BS231" s="1290"/>
      <c r="BT231" s="1290"/>
      <c r="BU231" s="1290"/>
      <c r="BV231" s="1290"/>
      <c r="BW231" s="1290"/>
      <c r="BX231" s="1290"/>
      <c r="BY231" s="1290"/>
      <c r="BZ231" s="1290"/>
      <c r="CA231" s="1290"/>
      <c r="CB231" s="1290"/>
      <c r="CC231" s="1290"/>
      <c r="CD231" s="1290"/>
      <c r="CE231" s="1290"/>
      <c r="CF231" s="1290"/>
      <c r="CG231" s="1290"/>
      <c r="CH231" s="1290"/>
      <c r="CI231" s="1290"/>
      <c r="CJ231" s="1290"/>
      <c r="CK231" s="1290"/>
      <c r="CL231" s="1290"/>
      <c r="CM231" s="1290"/>
      <c r="CN231" s="1290"/>
      <c r="CO231" s="1290"/>
      <c r="CP231" s="1290"/>
      <c r="CQ231" s="1290"/>
      <c r="CR231" s="1290"/>
      <c r="CS231" s="1290"/>
      <c r="CT231" s="1290"/>
      <c r="CU231" s="1290"/>
      <c r="CV231" s="1290"/>
      <c r="CW231" s="1290"/>
      <c r="CX231" s="1290"/>
      <c r="CY231" s="1290"/>
      <c r="CZ231" s="1290"/>
      <c r="DA231" s="1290"/>
      <c r="DB231" s="1290"/>
      <c r="DC231" s="1290"/>
      <c r="DD231" s="1290"/>
      <c r="DE231" s="1290"/>
      <c r="DF231" s="1290"/>
      <c r="DG231" s="1290"/>
      <c r="DH231" s="1290"/>
      <c r="DI231" s="1290"/>
      <c r="DJ231" s="1290"/>
      <c r="DK231" s="1290"/>
      <c r="DL231" s="1290"/>
      <c r="DM231" s="1290"/>
      <c r="DN231" s="1290"/>
      <c r="DO231" s="1290"/>
      <c r="DP231" s="1290"/>
      <c r="DQ231" s="1290"/>
      <c r="DR231" s="1290"/>
      <c r="DS231" s="1290"/>
      <c r="DT231" s="1290"/>
      <c r="DU231" s="1290"/>
      <c r="DV231" s="1290"/>
      <c r="DW231" s="1290"/>
      <c r="DX231" s="1290"/>
      <c r="DY231" s="1290"/>
      <c r="DZ231" s="1290"/>
      <c r="EA231" s="1290"/>
      <c r="EB231" s="1290"/>
      <c r="EC231" s="1290"/>
      <c r="ED231" s="1290"/>
      <c r="EE231" s="1290"/>
      <c r="EF231" s="1290"/>
      <c r="EG231" s="1290"/>
      <c r="EH231" s="1290"/>
      <c r="EI231" s="1290"/>
      <c r="EJ231" s="1290"/>
      <c r="EK231" s="1290"/>
      <c r="EL231" s="1290"/>
      <c r="EM231" s="1290"/>
      <c r="EN231" s="1290"/>
      <c r="EO231" s="1290"/>
      <c r="EP231" s="1290"/>
      <c r="EQ231" s="1290"/>
      <c r="ER231" s="1290"/>
      <c r="ES231" s="1290"/>
      <c r="ET231" s="1290"/>
      <c r="EU231" s="1290"/>
      <c r="EV231" s="1290"/>
      <c r="EW231" s="1290"/>
      <c r="EX231" s="1290"/>
      <c r="EY231" s="1290"/>
      <c r="EZ231" s="1290"/>
      <c r="FA231" s="1290"/>
      <c r="FB231" s="1290"/>
      <c r="FC231" s="1290"/>
      <c r="FD231" s="1290"/>
      <c r="FE231" s="1290"/>
      <c r="FF231" s="1290"/>
    </row>
    <row r="233" spans="6:162" s="1292" customFormat="1" ht="15.75" customHeight="1">
      <c r="F233" s="1290"/>
      <c r="G233" s="1290"/>
      <c r="H233" s="1290"/>
      <c r="I233" s="1290"/>
      <c r="J233" s="1290"/>
      <c r="K233" s="1290"/>
      <c r="L233" s="1290"/>
      <c r="M233" s="1290"/>
      <c r="N233" s="1290"/>
      <c r="O233" s="1290"/>
      <c r="P233" s="1290"/>
      <c r="Q233" s="1290"/>
      <c r="R233" s="1290"/>
      <c r="S233" s="1290"/>
      <c r="T233" s="1290"/>
      <c r="U233" s="1290"/>
      <c r="V233" s="1290"/>
      <c r="W233" s="1290"/>
      <c r="X233" s="1290"/>
      <c r="Y233" s="1290"/>
      <c r="AA233" s="1290"/>
      <c r="AC233" s="1290"/>
      <c r="AD233" s="1290"/>
      <c r="AE233" s="1290"/>
      <c r="AF233" s="1290"/>
      <c r="AG233" s="1290"/>
      <c r="AH233" s="1291"/>
      <c r="AI233" s="1291"/>
      <c r="AJ233" s="1290"/>
      <c r="AK233" s="1290"/>
      <c r="AL233" s="1290"/>
      <c r="AM233" s="1290"/>
      <c r="AN233" s="1290"/>
      <c r="AO233" s="1290"/>
      <c r="AP233" s="1290"/>
      <c r="AQ233" s="1290"/>
      <c r="AR233" s="1290"/>
      <c r="AS233" s="1290"/>
      <c r="AT233" s="1290"/>
      <c r="AU233" s="1290"/>
      <c r="AV233" s="1290"/>
      <c r="AW233" s="1290"/>
      <c r="AX233" s="1290"/>
      <c r="AY233" s="1290"/>
      <c r="AZ233" s="1290"/>
      <c r="BA233" s="1290"/>
      <c r="BB233" s="1290"/>
      <c r="BC233" s="1290"/>
      <c r="BD233" s="1290"/>
      <c r="BE233" s="1290"/>
      <c r="BF233" s="1290"/>
      <c r="BG233" s="1290"/>
      <c r="BH233" s="1290"/>
      <c r="BI233" s="1290"/>
      <c r="BJ233" s="1290"/>
      <c r="BK233" s="1290"/>
      <c r="BL233" s="1290"/>
      <c r="BM233" s="1290"/>
      <c r="BN233" s="1290"/>
      <c r="BO233" s="1290"/>
      <c r="BP233" s="1290"/>
      <c r="BQ233" s="1290"/>
      <c r="BR233" s="1290"/>
      <c r="BS233" s="1290"/>
      <c r="BT233" s="1290"/>
      <c r="BU233" s="1290"/>
      <c r="BV233" s="1290"/>
      <c r="BW233" s="1290"/>
      <c r="BX233" s="1290"/>
      <c r="BY233" s="1290"/>
      <c r="BZ233" s="1290"/>
      <c r="CA233" s="1290"/>
      <c r="CB233" s="1290"/>
      <c r="CC233" s="1290"/>
      <c r="CD233" s="1290"/>
      <c r="CE233" s="1290"/>
      <c r="CF233" s="1290"/>
      <c r="CG233" s="1290"/>
      <c r="CH233" s="1290"/>
      <c r="CI233" s="1290"/>
      <c r="CJ233" s="1290"/>
      <c r="CK233" s="1290"/>
      <c r="CL233" s="1290"/>
      <c r="CM233" s="1290"/>
      <c r="CN233" s="1290"/>
      <c r="CO233" s="1290"/>
      <c r="CP233" s="1290"/>
      <c r="CQ233" s="1290"/>
      <c r="CR233" s="1290"/>
      <c r="CS233" s="1290"/>
      <c r="CT233" s="1290"/>
      <c r="CU233" s="1290"/>
      <c r="CV233" s="1290"/>
      <c r="CW233" s="1290"/>
      <c r="CX233" s="1290"/>
      <c r="CY233" s="1290"/>
      <c r="CZ233" s="1290"/>
      <c r="DA233" s="1290"/>
      <c r="DB233" s="1290"/>
      <c r="DC233" s="1290"/>
      <c r="DD233" s="1290"/>
      <c r="DE233" s="1290"/>
      <c r="DF233" s="1290"/>
      <c r="DG233" s="1290"/>
      <c r="DH233" s="1290"/>
      <c r="DI233" s="1290"/>
      <c r="DJ233" s="1290"/>
      <c r="DK233" s="1290"/>
      <c r="DL233" s="1290"/>
      <c r="DM233" s="1290"/>
      <c r="DN233" s="1290"/>
      <c r="DO233" s="1290"/>
      <c r="DP233" s="1290"/>
      <c r="DQ233" s="1290"/>
      <c r="DR233" s="1290"/>
      <c r="DS233" s="1290"/>
      <c r="DT233" s="1290"/>
      <c r="DU233" s="1290"/>
      <c r="DV233" s="1290"/>
      <c r="DW233" s="1290"/>
      <c r="DX233" s="1290"/>
      <c r="DY233" s="1290"/>
      <c r="DZ233" s="1290"/>
      <c r="EA233" s="1290"/>
      <c r="EB233" s="1290"/>
      <c r="EC233" s="1290"/>
      <c r="ED233" s="1290"/>
      <c r="EE233" s="1290"/>
      <c r="EF233" s="1290"/>
      <c r="EG233" s="1290"/>
      <c r="EH233" s="1290"/>
      <c r="EI233" s="1290"/>
      <c r="EJ233" s="1290"/>
      <c r="EK233" s="1290"/>
      <c r="EL233" s="1290"/>
      <c r="EM233" s="1290"/>
      <c r="EN233" s="1290"/>
      <c r="EO233" s="1290"/>
      <c r="EP233" s="1290"/>
      <c r="EQ233" s="1290"/>
      <c r="ER233" s="1290"/>
      <c r="ES233" s="1290"/>
      <c r="ET233" s="1290"/>
      <c r="EU233" s="1290"/>
      <c r="EV233" s="1290"/>
      <c r="EW233" s="1290"/>
      <c r="EX233" s="1290"/>
      <c r="EY233" s="1290"/>
      <c r="EZ233" s="1290"/>
      <c r="FA233" s="1290"/>
      <c r="FB233" s="1290"/>
      <c r="FC233" s="1290"/>
      <c r="FD233" s="1290"/>
      <c r="FE233" s="1290"/>
      <c r="FF233" s="1290"/>
    </row>
    <row r="235" spans="6:162" s="1292" customFormat="1" ht="15.75" customHeight="1">
      <c r="F235" s="1290"/>
      <c r="G235" s="1290"/>
      <c r="H235" s="1290"/>
      <c r="I235" s="1290"/>
      <c r="J235" s="1290"/>
      <c r="K235" s="1290"/>
      <c r="L235" s="1290"/>
      <c r="M235" s="1290"/>
      <c r="N235" s="1290"/>
      <c r="O235" s="1290"/>
      <c r="P235" s="1290"/>
      <c r="Q235" s="1290"/>
      <c r="R235" s="1290"/>
      <c r="S235" s="1290"/>
      <c r="T235" s="1290"/>
      <c r="U235" s="1290"/>
      <c r="V235" s="1290"/>
      <c r="W235" s="1290"/>
      <c r="X235" s="1290"/>
      <c r="Y235" s="1290"/>
      <c r="AA235" s="1290"/>
      <c r="AC235" s="1290"/>
      <c r="AD235" s="1290"/>
      <c r="AE235" s="1290"/>
      <c r="AF235" s="1290"/>
      <c r="AG235" s="1290"/>
      <c r="AH235" s="1291"/>
      <c r="AI235" s="1291"/>
      <c r="AJ235" s="1290"/>
      <c r="AK235" s="1290"/>
      <c r="AL235" s="1290"/>
      <c r="AM235" s="1290"/>
      <c r="AN235" s="1290"/>
      <c r="AO235" s="1290"/>
      <c r="AP235" s="1290"/>
      <c r="AQ235" s="1290"/>
      <c r="AR235" s="1290"/>
      <c r="AS235" s="1290"/>
      <c r="AT235" s="1290"/>
      <c r="AU235" s="1290"/>
      <c r="AV235" s="1290"/>
      <c r="AW235" s="1290"/>
      <c r="AX235" s="1290"/>
      <c r="AY235" s="1290"/>
      <c r="AZ235" s="1290"/>
      <c r="BA235" s="1290"/>
      <c r="BB235" s="1290"/>
      <c r="BC235" s="1290"/>
      <c r="BD235" s="1290"/>
      <c r="BE235" s="1290"/>
      <c r="BF235" s="1290"/>
      <c r="BG235" s="1290"/>
      <c r="BH235" s="1290"/>
      <c r="BI235" s="1290"/>
      <c r="BJ235" s="1290"/>
      <c r="BK235" s="1290"/>
      <c r="BL235" s="1290"/>
      <c r="BM235" s="1290"/>
      <c r="BN235" s="1290"/>
      <c r="BO235" s="1290"/>
      <c r="BP235" s="1290"/>
      <c r="BQ235" s="1290"/>
      <c r="BR235" s="1290"/>
      <c r="BS235" s="1290"/>
      <c r="BT235" s="1290"/>
      <c r="BU235" s="1290"/>
      <c r="BV235" s="1290"/>
      <c r="BW235" s="1290"/>
      <c r="BX235" s="1290"/>
      <c r="BY235" s="1290"/>
      <c r="BZ235" s="1290"/>
      <c r="CA235" s="1290"/>
      <c r="CB235" s="1290"/>
      <c r="CC235" s="1290"/>
      <c r="CD235" s="1290"/>
      <c r="CE235" s="1290"/>
      <c r="CF235" s="1290"/>
      <c r="CG235" s="1290"/>
      <c r="CH235" s="1290"/>
      <c r="CI235" s="1290"/>
      <c r="CJ235" s="1290"/>
      <c r="CK235" s="1290"/>
      <c r="CL235" s="1290"/>
      <c r="CM235" s="1290"/>
      <c r="CN235" s="1290"/>
      <c r="CO235" s="1290"/>
      <c r="CP235" s="1290"/>
      <c r="CQ235" s="1290"/>
      <c r="CR235" s="1290"/>
      <c r="CS235" s="1290"/>
      <c r="CT235" s="1290"/>
      <c r="CU235" s="1290"/>
      <c r="CV235" s="1290"/>
      <c r="CW235" s="1290"/>
      <c r="CX235" s="1290"/>
      <c r="CY235" s="1290"/>
      <c r="CZ235" s="1290"/>
      <c r="DA235" s="1290"/>
      <c r="DB235" s="1290"/>
      <c r="DC235" s="1290"/>
      <c r="DD235" s="1290"/>
      <c r="DE235" s="1290"/>
      <c r="DF235" s="1290"/>
      <c r="DG235" s="1290"/>
      <c r="DH235" s="1290"/>
      <c r="DI235" s="1290"/>
      <c r="DJ235" s="1290"/>
      <c r="DK235" s="1290"/>
      <c r="DL235" s="1290"/>
      <c r="DM235" s="1290"/>
      <c r="DN235" s="1290"/>
      <c r="DO235" s="1290"/>
      <c r="DP235" s="1290"/>
      <c r="DQ235" s="1290"/>
      <c r="DR235" s="1290"/>
      <c r="DS235" s="1290"/>
      <c r="DT235" s="1290"/>
      <c r="DU235" s="1290"/>
      <c r="DV235" s="1290"/>
      <c r="DW235" s="1290"/>
      <c r="DX235" s="1290"/>
      <c r="DY235" s="1290"/>
      <c r="DZ235" s="1290"/>
      <c r="EA235" s="1290"/>
      <c r="EB235" s="1290"/>
      <c r="EC235" s="1290"/>
      <c r="ED235" s="1290"/>
      <c r="EE235" s="1290"/>
      <c r="EF235" s="1290"/>
      <c r="EG235" s="1290"/>
      <c r="EH235" s="1290"/>
      <c r="EI235" s="1290"/>
      <c r="EJ235" s="1290"/>
      <c r="EK235" s="1290"/>
      <c r="EL235" s="1290"/>
      <c r="EM235" s="1290"/>
      <c r="EN235" s="1290"/>
      <c r="EO235" s="1290"/>
      <c r="EP235" s="1290"/>
      <c r="EQ235" s="1290"/>
      <c r="ER235" s="1290"/>
      <c r="ES235" s="1290"/>
      <c r="ET235" s="1290"/>
      <c r="EU235" s="1290"/>
      <c r="EV235" s="1290"/>
      <c r="EW235" s="1290"/>
      <c r="EX235" s="1290"/>
      <c r="EY235" s="1290"/>
      <c r="EZ235" s="1290"/>
      <c r="FA235" s="1290"/>
      <c r="FB235" s="1290"/>
      <c r="FC235" s="1290"/>
      <c r="FD235" s="1290"/>
      <c r="FE235" s="1290"/>
      <c r="FF235" s="1290"/>
    </row>
    <row r="237" spans="6:162" s="1292" customFormat="1" ht="15.75" customHeight="1">
      <c r="F237" s="1290"/>
      <c r="G237" s="1290"/>
      <c r="H237" s="1290"/>
      <c r="I237" s="1290"/>
      <c r="J237" s="1290"/>
      <c r="K237" s="1290"/>
      <c r="L237" s="1290"/>
      <c r="M237" s="1290"/>
      <c r="N237" s="1290"/>
      <c r="O237" s="1290"/>
      <c r="P237" s="1290"/>
      <c r="Q237" s="1290"/>
      <c r="R237" s="1290"/>
      <c r="S237" s="1290"/>
      <c r="T237" s="1290"/>
      <c r="U237" s="1290"/>
      <c r="V237" s="1290"/>
      <c r="W237" s="1290"/>
      <c r="X237" s="1290"/>
      <c r="Y237" s="1290"/>
      <c r="AA237" s="1290"/>
      <c r="AC237" s="1290"/>
      <c r="AD237" s="1290"/>
      <c r="AE237" s="1290"/>
      <c r="AF237" s="1290"/>
      <c r="AG237" s="1290"/>
      <c r="AH237" s="1291"/>
      <c r="AI237" s="1291"/>
      <c r="AJ237" s="1290"/>
      <c r="AK237" s="1290"/>
      <c r="AL237" s="1290"/>
      <c r="AM237" s="1290"/>
      <c r="AN237" s="1290"/>
      <c r="AO237" s="1290"/>
      <c r="AP237" s="1290"/>
      <c r="AQ237" s="1290"/>
      <c r="AR237" s="1290"/>
      <c r="AS237" s="1290"/>
      <c r="AT237" s="1290"/>
      <c r="AU237" s="1290"/>
      <c r="AV237" s="1290"/>
      <c r="AW237" s="1290"/>
      <c r="AX237" s="1290"/>
      <c r="AY237" s="1290"/>
      <c r="AZ237" s="1290"/>
      <c r="BA237" s="1290"/>
      <c r="BB237" s="1290"/>
      <c r="BC237" s="1290"/>
      <c r="BD237" s="1290"/>
      <c r="BE237" s="1290"/>
      <c r="BF237" s="1290"/>
      <c r="BG237" s="1290"/>
      <c r="BH237" s="1290"/>
      <c r="BI237" s="1290"/>
      <c r="BJ237" s="1290"/>
      <c r="BK237" s="1290"/>
      <c r="BL237" s="1290"/>
      <c r="BM237" s="1290"/>
      <c r="BN237" s="1290"/>
      <c r="BO237" s="1290"/>
      <c r="BP237" s="1290"/>
      <c r="BQ237" s="1290"/>
      <c r="BR237" s="1290"/>
      <c r="BS237" s="1290"/>
      <c r="BT237" s="1290"/>
      <c r="BU237" s="1290"/>
      <c r="BV237" s="1290"/>
      <c r="BW237" s="1290"/>
      <c r="BX237" s="1290"/>
      <c r="BY237" s="1290"/>
      <c r="BZ237" s="1290"/>
      <c r="CA237" s="1290"/>
      <c r="CB237" s="1290"/>
      <c r="CC237" s="1290"/>
      <c r="CD237" s="1290"/>
      <c r="CE237" s="1290"/>
      <c r="CF237" s="1290"/>
      <c r="CG237" s="1290"/>
      <c r="CH237" s="1290"/>
      <c r="CI237" s="1290"/>
      <c r="CJ237" s="1290"/>
      <c r="CK237" s="1290"/>
      <c r="CL237" s="1290"/>
      <c r="CM237" s="1290"/>
      <c r="CN237" s="1290"/>
      <c r="CO237" s="1290"/>
      <c r="CP237" s="1290"/>
      <c r="CQ237" s="1290"/>
      <c r="CR237" s="1290"/>
      <c r="CS237" s="1290"/>
      <c r="CT237" s="1290"/>
      <c r="CU237" s="1290"/>
      <c r="CV237" s="1290"/>
      <c r="CW237" s="1290"/>
      <c r="CX237" s="1290"/>
      <c r="CY237" s="1290"/>
      <c r="CZ237" s="1290"/>
      <c r="DA237" s="1290"/>
      <c r="DB237" s="1290"/>
      <c r="DC237" s="1290"/>
      <c r="DD237" s="1290"/>
      <c r="DE237" s="1290"/>
      <c r="DF237" s="1290"/>
      <c r="DG237" s="1290"/>
      <c r="DH237" s="1290"/>
      <c r="DI237" s="1290"/>
      <c r="DJ237" s="1290"/>
      <c r="DK237" s="1290"/>
      <c r="DL237" s="1290"/>
      <c r="DM237" s="1290"/>
      <c r="DN237" s="1290"/>
      <c r="DO237" s="1290"/>
      <c r="DP237" s="1290"/>
      <c r="DQ237" s="1290"/>
      <c r="DR237" s="1290"/>
      <c r="DS237" s="1290"/>
      <c r="DT237" s="1290"/>
      <c r="DU237" s="1290"/>
      <c r="DV237" s="1290"/>
      <c r="DW237" s="1290"/>
      <c r="DX237" s="1290"/>
      <c r="DY237" s="1290"/>
      <c r="DZ237" s="1290"/>
      <c r="EA237" s="1290"/>
      <c r="EB237" s="1290"/>
      <c r="EC237" s="1290"/>
      <c r="ED237" s="1290"/>
      <c r="EE237" s="1290"/>
      <c r="EF237" s="1290"/>
      <c r="EG237" s="1290"/>
      <c r="EH237" s="1290"/>
      <c r="EI237" s="1290"/>
      <c r="EJ237" s="1290"/>
      <c r="EK237" s="1290"/>
      <c r="EL237" s="1290"/>
      <c r="EM237" s="1290"/>
      <c r="EN237" s="1290"/>
      <c r="EO237" s="1290"/>
      <c r="EP237" s="1290"/>
      <c r="EQ237" s="1290"/>
      <c r="ER237" s="1290"/>
      <c r="ES237" s="1290"/>
      <c r="ET237" s="1290"/>
      <c r="EU237" s="1290"/>
      <c r="EV237" s="1290"/>
      <c r="EW237" s="1290"/>
      <c r="EX237" s="1290"/>
      <c r="EY237" s="1290"/>
      <c r="EZ237" s="1290"/>
      <c r="FA237" s="1290"/>
      <c r="FB237" s="1290"/>
      <c r="FC237" s="1290"/>
      <c r="FD237" s="1290"/>
      <c r="FE237" s="1290"/>
      <c r="FF237" s="1290"/>
    </row>
    <row r="239" spans="6:162" s="1292" customFormat="1" ht="15.75" customHeight="1">
      <c r="F239" s="1290"/>
      <c r="G239" s="1290"/>
      <c r="H239" s="1290"/>
      <c r="I239" s="1290"/>
      <c r="J239" s="1290"/>
      <c r="K239" s="1290"/>
      <c r="L239" s="1290"/>
      <c r="M239" s="1290"/>
      <c r="N239" s="1290"/>
      <c r="O239" s="1290"/>
      <c r="P239" s="1290"/>
      <c r="Q239" s="1290"/>
      <c r="R239" s="1290"/>
      <c r="S239" s="1290"/>
      <c r="T239" s="1290"/>
      <c r="U239" s="1290"/>
      <c r="V239" s="1290"/>
      <c r="W239" s="1290"/>
      <c r="X239" s="1290"/>
      <c r="Y239" s="1290"/>
      <c r="AA239" s="1290"/>
      <c r="AC239" s="1290"/>
      <c r="AD239" s="1290"/>
      <c r="AE239" s="1290"/>
      <c r="AF239" s="1290"/>
      <c r="AG239" s="1290"/>
      <c r="AH239" s="1291"/>
      <c r="AI239" s="1291"/>
      <c r="AJ239" s="1290"/>
      <c r="AK239" s="1290"/>
      <c r="AL239" s="1290"/>
      <c r="AM239" s="1290"/>
      <c r="AN239" s="1290"/>
      <c r="AO239" s="1290"/>
      <c r="AP239" s="1290"/>
      <c r="AQ239" s="1290"/>
      <c r="AR239" s="1290"/>
      <c r="AS239" s="1290"/>
      <c r="AT239" s="1290"/>
      <c r="AU239" s="1290"/>
      <c r="AV239" s="1290"/>
      <c r="AW239" s="1290"/>
      <c r="AX239" s="1290"/>
      <c r="AY239" s="1290"/>
      <c r="AZ239" s="1290"/>
      <c r="BA239" s="1290"/>
      <c r="BB239" s="1290"/>
      <c r="BC239" s="1290"/>
      <c r="BD239" s="1290"/>
      <c r="BE239" s="1290"/>
      <c r="BF239" s="1290"/>
      <c r="BG239" s="1290"/>
      <c r="BH239" s="1290"/>
      <c r="BI239" s="1290"/>
      <c r="BJ239" s="1290"/>
      <c r="BK239" s="1290"/>
      <c r="BL239" s="1290"/>
      <c r="BM239" s="1290"/>
      <c r="BN239" s="1290"/>
      <c r="BO239" s="1290"/>
      <c r="BP239" s="1290"/>
      <c r="BQ239" s="1290"/>
      <c r="BR239" s="1290"/>
      <c r="BS239" s="1290"/>
      <c r="BT239" s="1290"/>
      <c r="BU239" s="1290"/>
      <c r="BV239" s="1290"/>
      <c r="BW239" s="1290"/>
      <c r="BX239" s="1290"/>
      <c r="BY239" s="1290"/>
      <c r="BZ239" s="1290"/>
      <c r="CA239" s="1290"/>
      <c r="CB239" s="1290"/>
      <c r="CC239" s="1290"/>
      <c r="CD239" s="1290"/>
      <c r="CE239" s="1290"/>
      <c r="CF239" s="1290"/>
      <c r="CG239" s="1290"/>
      <c r="CH239" s="1290"/>
      <c r="CI239" s="1290"/>
      <c r="CJ239" s="1290"/>
      <c r="CK239" s="1290"/>
      <c r="CL239" s="1290"/>
      <c r="CM239" s="1290"/>
      <c r="CN239" s="1290"/>
      <c r="CO239" s="1290"/>
      <c r="CP239" s="1290"/>
      <c r="CQ239" s="1290"/>
      <c r="CR239" s="1290"/>
      <c r="CS239" s="1290"/>
      <c r="CT239" s="1290"/>
      <c r="CU239" s="1290"/>
      <c r="CV239" s="1290"/>
      <c r="CW239" s="1290"/>
      <c r="CX239" s="1290"/>
      <c r="CY239" s="1290"/>
      <c r="CZ239" s="1290"/>
      <c r="DA239" s="1290"/>
      <c r="DB239" s="1290"/>
      <c r="DC239" s="1290"/>
      <c r="DD239" s="1290"/>
      <c r="DE239" s="1290"/>
      <c r="DF239" s="1290"/>
      <c r="DG239" s="1290"/>
      <c r="DH239" s="1290"/>
      <c r="DI239" s="1290"/>
      <c r="DJ239" s="1290"/>
      <c r="DK239" s="1290"/>
      <c r="DL239" s="1290"/>
      <c r="DM239" s="1290"/>
      <c r="DN239" s="1290"/>
      <c r="DO239" s="1290"/>
      <c r="DP239" s="1290"/>
      <c r="DQ239" s="1290"/>
      <c r="DR239" s="1290"/>
      <c r="DS239" s="1290"/>
      <c r="DT239" s="1290"/>
      <c r="DU239" s="1290"/>
      <c r="DV239" s="1290"/>
      <c r="DW239" s="1290"/>
      <c r="DX239" s="1290"/>
      <c r="DY239" s="1290"/>
      <c r="DZ239" s="1290"/>
      <c r="EA239" s="1290"/>
      <c r="EB239" s="1290"/>
      <c r="EC239" s="1290"/>
      <c r="ED239" s="1290"/>
      <c r="EE239" s="1290"/>
      <c r="EF239" s="1290"/>
      <c r="EG239" s="1290"/>
      <c r="EH239" s="1290"/>
      <c r="EI239" s="1290"/>
      <c r="EJ239" s="1290"/>
      <c r="EK239" s="1290"/>
      <c r="EL239" s="1290"/>
      <c r="EM239" s="1290"/>
      <c r="EN239" s="1290"/>
      <c r="EO239" s="1290"/>
      <c r="EP239" s="1290"/>
      <c r="EQ239" s="1290"/>
      <c r="ER239" s="1290"/>
      <c r="ES239" s="1290"/>
      <c r="ET239" s="1290"/>
      <c r="EU239" s="1290"/>
      <c r="EV239" s="1290"/>
      <c r="EW239" s="1290"/>
      <c r="EX239" s="1290"/>
      <c r="EY239" s="1290"/>
      <c r="EZ239" s="1290"/>
      <c r="FA239" s="1290"/>
      <c r="FB239" s="1290"/>
      <c r="FC239" s="1290"/>
      <c r="FD239" s="1290"/>
      <c r="FE239" s="1290"/>
      <c r="FF239" s="1290"/>
    </row>
    <row r="241" spans="6:162" s="1292" customFormat="1" ht="15.75" customHeight="1">
      <c r="F241" s="1290"/>
      <c r="G241" s="1290"/>
      <c r="H241" s="1290"/>
      <c r="I241" s="1290"/>
      <c r="J241" s="1290"/>
      <c r="K241" s="1290"/>
      <c r="L241" s="1290"/>
      <c r="M241" s="1290"/>
      <c r="N241" s="1290"/>
      <c r="O241" s="1290"/>
      <c r="P241" s="1290"/>
      <c r="Q241" s="1290"/>
      <c r="R241" s="1290"/>
      <c r="S241" s="1290"/>
      <c r="T241" s="1290"/>
      <c r="U241" s="1290"/>
      <c r="V241" s="1290"/>
      <c r="W241" s="1290"/>
      <c r="X241" s="1290"/>
      <c r="Y241" s="1290"/>
      <c r="AA241" s="1290"/>
      <c r="AC241" s="1290"/>
      <c r="AD241" s="1290"/>
      <c r="AE241" s="1290"/>
      <c r="AF241" s="1290"/>
      <c r="AG241" s="1290"/>
      <c r="AH241" s="1291"/>
      <c r="AI241" s="1291"/>
      <c r="AJ241" s="1290"/>
      <c r="AK241" s="1290"/>
      <c r="AL241" s="1290"/>
      <c r="AM241" s="1290"/>
      <c r="AN241" s="1290"/>
      <c r="AO241" s="1290"/>
      <c r="AP241" s="1290"/>
      <c r="AQ241" s="1290"/>
      <c r="AR241" s="1290"/>
      <c r="AS241" s="1290"/>
      <c r="AT241" s="1290"/>
      <c r="AU241" s="1290"/>
      <c r="AV241" s="1290"/>
      <c r="AW241" s="1290"/>
      <c r="AX241" s="1290"/>
      <c r="AY241" s="1290"/>
      <c r="AZ241" s="1290"/>
      <c r="BA241" s="1290"/>
      <c r="BB241" s="1290"/>
      <c r="BC241" s="1290"/>
      <c r="BD241" s="1290"/>
      <c r="BE241" s="1290"/>
      <c r="BF241" s="1290"/>
      <c r="BG241" s="1290"/>
      <c r="BH241" s="1290"/>
      <c r="BI241" s="1290"/>
      <c r="BJ241" s="1290"/>
      <c r="BK241" s="1290"/>
      <c r="BL241" s="1290"/>
      <c r="BM241" s="1290"/>
      <c r="BN241" s="1290"/>
      <c r="BO241" s="1290"/>
      <c r="BP241" s="1290"/>
      <c r="BQ241" s="1290"/>
      <c r="BR241" s="1290"/>
      <c r="BS241" s="1290"/>
      <c r="BT241" s="1290"/>
      <c r="BU241" s="1290"/>
      <c r="BV241" s="1290"/>
      <c r="BW241" s="1290"/>
      <c r="BX241" s="1290"/>
      <c r="BY241" s="1290"/>
      <c r="BZ241" s="1290"/>
      <c r="CA241" s="1290"/>
      <c r="CB241" s="1290"/>
      <c r="CC241" s="1290"/>
      <c r="CD241" s="1290"/>
      <c r="CE241" s="1290"/>
      <c r="CF241" s="1290"/>
      <c r="CG241" s="1290"/>
      <c r="CH241" s="1290"/>
      <c r="CI241" s="1290"/>
      <c r="CJ241" s="1290"/>
      <c r="CK241" s="1290"/>
      <c r="CL241" s="1290"/>
      <c r="CM241" s="1290"/>
      <c r="CN241" s="1290"/>
      <c r="CO241" s="1290"/>
      <c r="CP241" s="1290"/>
      <c r="CQ241" s="1290"/>
      <c r="CR241" s="1290"/>
      <c r="CS241" s="1290"/>
      <c r="CT241" s="1290"/>
      <c r="CU241" s="1290"/>
      <c r="CV241" s="1290"/>
      <c r="CW241" s="1290"/>
      <c r="CX241" s="1290"/>
      <c r="CY241" s="1290"/>
      <c r="CZ241" s="1290"/>
      <c r="DA241" s="1290"/>
      <c r="DB241" s="1290"/>
      <c r="DC241" s="1290"/>
      <c r="DD241" s="1290"/>
      <c r="DE241" s="1290"/>
      <c r="DF241" s="1290"/>
      <c r="DG241" s="1290"/>
      <c r="DH241" s="1290"/>
      <c r="DI241" s="1290"/>
      <c r="DJ241" s="1290"/>
      <c r="DK241" s="1290"/>
      <c r="DL241" s="1290"/>
      <c r="DM241" s="1290"/>
      <c r="DN241" s="1290"/>
      <c r="DO241" s="1290"/>
      <c r="DP241" s="1290"/>
      <c r="DQ241" s="1290"/>
      <c r="DR241" s="1290"/>
      <c r="DS241" s="1290"/>
      <c r="DT241" s="1290"/>
      <c r="DU241" s="1290"/>
      <c r="DV241" s="1290"/>
      <c r="DW241" s="1290"/>
      <c r="DX241" s="1290"/>
      <c r="DY241" s="1290"/>
      <c r="DZ241" s="1290"/>
      <c r="EA241" s="1290"/>
      <c r="EB241" s="1290"/>
      <c r="EC241" s="1290"/>
      <c r="ED241" s="1290"/>
      <c r="EE241" s="1290"/>
      <c r="EF241" s="1290"/>
      <c r="EG241" s="1290"/>
      <c r="EH241" s="1290"/>
      <c r="EI241" s="1290"/>
      <c r="EJ241" s="1290"/>
      <c r="EK241" s="1290"/>
      <c r="EL241" s="1290"/>
      <c r="EM241" s="1290"/>
      <c r="EN241" s="1290"/>
      <c r="EO241" s="1290"/>
      <c r="EP241" s="1290"/>
      <c r="EQ241" s="1290"/>
      <c r="ER241" s="1290"/>
      <c r="ES241" s="1290"/>
      <c r="ET241" s="1290"/>
      <c r="EU241" s="1290"/>
      <c r="EV241" s="1290"/>
      <c r="EW241" s="1290"/>
      <c r="EX241" s="1290"/>
      <c r="EY241" s="1290"/>
      <c r="EZ241" s="1290"/>
      <c r="FA241" s="1290"/>
      <c r="FB241" s="1290"/>
      <c r="FC241" s="1290"/>
      <c r="FD241" s="1290"/>
      <c r="FE241" s="1290"/>
      <c r="FF241" s="1290"/>
    </row>
    <row r="243" spans="6:162" s="1292" customFormat="1" ht="15.75" customHeight="1">
      <c r="F243" s="1290"/>
      <c r="G243" s="1290"/>
      <c r="H243" s="1290"/>
      <c r="I243" s="1290"/>
      <c r="J243" s="1290"/>
      <c r="K243" s="1290"/>
      <c r="L243" s="1290"/>
      <c r="M243" s="1290"/>
      <c r="N243" s="1290"/>
      <c r="O243" s="1290"/>
      <c r="P243" s="1290"/>
      <c r="Q243" s="1290"/>
      <c r="R243" s="1290"/>
      <c r="S243" s="1290"/>
      <c r="T243" s="1290"/>
      <c r="U243" s="1290"/>
      <c r="V243" s="1290"/>
      <c r="W243" s="1290"/>
      <c r="X243" s="1290"/>
      <c r="Y243" s="1290"/>
      <c r="AA243" s="1290"/>
      <c r="AC243" s="1290"/>
      <c r="AD243" s="1290"/>
      <c r="AE243" s="1290"/>
      <c r="AF243" s="1290"/>
      <c r="AG243" s="1290"/>
      <c r="AH243" s="1291"/>
      <c r="AI243" s="1291"/>
      <c r="AJ243" s="1290"/>
      <c r="AK243" s="1290"/>
      <c r="AL243" s="1290"/>
      <c r="AM243" s="1290"/>
      <c r="AN243" s="1290"/>
      <c r="AO243" s="1290"/>
      <c r="AP243" s="1290"/>
      <c r="AQ243" s="1290"/>
      <c r="AR243" s="1290"/>
      <c r="AS243" s="1290"/>
      <c r="AT243" s="1290"/>
      <c r="AU243" s="1290"/>
      <c r="AV243" s="1290"/>
      <c r="AW243" s="1290"/>
      <c r="AX243" s="1290"/>
      <c r="AY243" s="1290"/>
      <c r="AZ243" s="1290"/>
      <c r="BA243" s="1290"/>
      <c r="BB243" s="1290"/>
      <c r="BC243" s="1290"/>
      <c r="BD243" s="1290"/>
      <c r="BE243" s="1290"/>
      <c r="BF243" s="1290"/>
      <c r="BG243" s="1290"/>
      <c r="BH243" s="1290"/>
      <c r="BI243" s="1290"/>
      <c r="BJ243" s="1290"/>
      <c r="BK243" s="1290"/>
      <c r="BL243" s="1290"/>
      <c r="BM243" s="1290"/>
      <c r="BN243" s="1290"/>
      <c r="BO243" s="1290"/>
      <c r="BP243" s="1290"/>
      <c r="BQ243" s="1290"/>
      <c r="BR243" s="1290"/>
      <c r="BS243" s="1290"/>
      <c r="BT243" s="1290"/>
      <c r="BU243" s="1290"/>
      <c r="BV243" s="1290"/>
      <c r="BW243" s="1290"/>
      <c r="BX243" s="1290"/>
      <c r="BY243" s="1290"/>
      <c r="BZ243" s="1290"/>
      <c r="CA243" s="1290"/>
      <c r="CB243" s="1290"/>
      <c r="CC243" s="1290"/>
      <c r="CD243" s="1290"/>
      <c r="CE243" s="1290"/>
      <c r="CF243" s="1290"/>
      <c r="CG243" s="1290"/>
      <c r="CH243" s="1290"/>
      <c r="CI243" s="1290"/>
      <c r="CJ243" s="1290"/>
      <c r="CK243" s="1290"/>
      <c r="CL243" s="1290"/>
      <c r="CM243" s="1290"/>
      <c r="CN243" s="1290"/>
      <c r="CO243" s="1290"/>
      <c r="CP243" s="1290"/>
      <c r="CQ243" s="1290"/>
      <c r="CR243" s="1290"/>
      <c r="CS243" s="1290"/>
      <c r="CT243" s="1290"/>
      <c r="CU243" s="1290"/>
      <c r="CV243" s="1290"/>
      <c r="CW243" s="1290"/>
      <c r="CX243" s="1290"/>
      <c r="CY243" s="1290"/>
      <c r="CZ243" s="1290"/>
      <c r="DA243" s="1290"/>
      <c r="DB243" s="1290"/>
      <c r="DC243" s="1290"/>
      <c r="DD243" s="1290"/>
      <c r="DE243" s="1290"/>
      <c r="DF243" s="1290"/>
      <c r="DG243" s="1290"/>
      <c r="DH243" s="1290"/>
      <c r="DI243" s="1290"/>
      <c r="DJ243" s="1290"/>
      <c r="DK243" s="1290"/>
      <c r="DL243" s="1290"/>
      <c r="DM243" s="1290"/>
      <c r="DN243" s="1290"/>
      <c r="DO243" s="1290"/>
      <c r="DP243" s="1290"/>
      <c r="DQ243" s="1290"/>
      <c r="DR243" s="1290"/>
      <c r="DS243" s="1290"/>
      <c r="DT243" s="1290"/>
      <c r="DU243" s="1290"/>
      <c r="DV243" s="1290"/>
      <c r="DW243" s="1290"/>
      <c r="DX243" s="1290"/>
      <c r="DY243" s="1290"/>
      <c r="DZ243" s="1290"/>
      <c r="EA243" s="1290"/>
      <c r="EB243" s="1290"/>
      <c r="EC243" s="1290"/>
      <c r="ED243" s="1290"/>
      <c r="EE243" s="1290"/>
      <c r="EF243" s="1290"/>
      <c r="EG243" s="1290"/>
      <c r="EH243" s="1290"/>
      <c r="EI243" s="1290"/>
      <c r="EJ243" s="1290"/>
      <c r="EK243" s="1290"/>
      <c r="EL243" s="1290"/>
      <c r="EM243" s="1290"/>
      <c r="EN243" s="1290"/>
      <c r="EO243" s="1290"/>
      <c r="EP243" s="1290"/>
      <c r="EQ243" s="1290"/>
      <c r="ER243" s="1290"/>
      <c r="ES243" s="1290"/>
      <c r="ET243" s="1290"/>
      <c r="EU243" s="1290"/>
      <c r="EV243" s="1290"/>
      <c r="EW243" s="1290"/>
      <c r="EX243" s="1290"/>
      <c r="EY243" s="1290"/>
      <c r="EZ243" s="1290"/>
      <c r="FA243" s="1290"/>
      <c r="FB243" s="1290"/>
      <c r="FC243" s="1290"/>
      <c r="FD243" s="1290"/>
      <c r="FE243" s="1290"/>
      <c r="FF243" s="1290"/>
    </row>
    <row r="245" spans="6:162" s="1292" customFormat="1" ht="15.75" customHeight="1">
      <c r="F245" s="1290"/>
      <c r="G245" s="1290"/>
      <c r="H245" s="1290"/>
      <c r="I245" s="1290"/>
      <c r="J245" s="1290"/>
      <c r="K245" s="1290"/>
      <c r="L245" s="1290"/>
      <c r="M245" s="1290"/>
      <c r="N245" s="1290"/>
      <c r="O245" s="1290"/>
      <c r="P245" s="1290"/>
      <c r="Q245" s="1290"/>
      <c r="R245" s="1290"/>
      <c r="S245" s="1290"/>
      <c r="T245" s="1290"/>
      <c r="U245" s="1290"/>
      <c r="V245" s="1290"/>
      <c r="W245" s="1290"/>
      <c r="X245" s="1290"/>
      <c r="Y245" s="1290"/>
      <c r="AA245" s="1290"/>
      <c r="AC245" s="1290"/>
      <c r="AD245" s="1290"/>
      <c r="AE245" s="1290"/>
      <c r="AF245" s="1290"/>
      <c r="AG245" s="1290"/>
      <c r="AH245" s="1291"/>
      <c r="AI245" s="1291"/>
      <c r="AJ245" s="1290"/>
      <c r="AK245" s="1290"/>
      <c r="AL245" s="1290"/>
      <c r="AM245" s="1290"/>
      <c r="AN245" s="1290"/>
      <c r="AO245" s="1290"/>
      <c r="AP245" s="1290"/>
      <c r="AQ245" s="1290"/>
      <c r="AR245" s="1290"/>
      <c r="AS245" s="1290"/>
      <c r="AT245" s="1290"/>
      <c r="AU245" s="1290"/>
      <c r="AV245" s="1290"/>
      <c r="AW245" s="1290"/>
      <c r="AX245" s="1290"/>
      <c r="AY245" s="1290"/>
      <c r="AZ245" s="1290"/>
      <c r="BA245" s="1290"/>
      <c r="BB245" s="1290"/>
      <c r="BC245" s="1290"/>
      <c r="BD245" s="1290"/>
      <c r="BE245" s="1290"/>
      <c r="BF245" s="1290"/>
      <c r="BG245" s="1290"/>
      <c r="BH245" s="1290"/>
      <c r="BI245" s="1290"/>
      <c r="BJ245" s="1290"/>
      <c r="BK245" s="1290"/>
      <c r="BL245" s="1290"/>
      <c r="BM245" s="1290"/>
      <c r="BN245" s="1290"/>
      <c r="BO245" s="1290"/>
      <c r="BP245" s="1290"/>
      <c r="BQ245" s="1290"/>
      <c r="BR245" s="1290"/>
      <c r="BS245" s="1290"/>
      <c r="BT245" s="1290"/>
      <c r="BU245" s="1290"/>
      <c r="BV245" s="1290"/>
      <c r="BW245" s="1290"/>
      <c r="BX245" s="1290"/>
      <c r="BY245" s="1290"/>
      <c r="BZ245" s="1290"/>
      <c r="CA245" s="1290"/>
      <c r="CB245" s="1290"/>
      <c r="CC245" s="1290"/>
      <c r="CD245" s="1290"/>
      <c r="CE245" s="1290"/>
      <c r="CF245" s="1290"/>
      <c r="CG245" s="1290"/>
      <c r="CH245" s="1290"/>
      <c r="CI245" s="1290"/>
      <c r="CJ245" s="1290"/>
      <c r="CK245" s="1290"/>
      <c r="CL245" s="1290"/>
      <c r="CM245" s="1290"/>
      <c r="CN245" s="1290"/>
      <c r="CO245" s="1290"/>
      <c r="CP245" s="1290"/>
      <c r="CQ245" s="1290"/>
      <c r="CR245" s="1290"/>
      <c r="CS245" s="1290"/>
      <c r="CT245" s="1290"/>
      <c r="CU245" s="1290"/>
      <c r="CV245" s="1290"/>
      <c r="CW245" s="1290"/>
      <c r="CX245" s="1290"/>
      <c r="CY245" s="1290"/>
      <c r="CZ245" s="1290"/>
      <c r="DA245" s="1290"/>
      <c r="DB245" s="1290"/>
      <c r="DC245" s="1290"/>
      <c r="DD245" s="1290"/>
      <c r="DE245" s="1290"/>
      <c r="DF245" s="1290"/>
      <c r="DG245" s="1290"/>
      <c r="DH245" s="1290"/>
      <c r="DI245" s="1290"/>
      <c r="DJ245" s="1290"/>
      <c r="DK245" s="1290"/>
      <c r="DL245" s="1290"/>
      <c r="DM245" s="1290"/>
      <c r="DN245" s="1290"/>
      <c r="DO245" s="1290"/>
      <c r="DP245" s="1290"/>
      <c r="DQ245" s="1290"/>
      <c r="DR245" s="1290"/>
      <c r="DS245" s="1290"/>
      <c r="DT245" s="1290"/>
      <c r="DU245" s="1290"/>
      <c r="DV245" s="1290"/>
      <c r="DW245" s="1290"/>
      <c r="DX245" s="1290"/>
      <c r="DY245" s="1290"/>
      <c r="DZ245" s="1290"/>
      <c r="EA245" s="1290"/>
      <c r="EB245" s="1290"/>
      <c r="EC245" s="1290"/>
      <c r="ED245" s="1290"/>
      <c r="EE245" s="1290"/>
      <c r="EF245" s="1290"/>
      <c r="EG245" s="1290"/>
      <c r="EH245" s="1290"/>
      <c r="EI245" s="1290"/>
      <c r="EJ245" s="1290"/>
      <c r="EK245" s="1290"/>
      <c r="EL245" s="1290"/>
      <c r="EM245" s="1290"/>
      <c r="EN245" s="1290"/>
      <c r="EO245" s="1290"/>
      <c r="EP245" s="1290"/>
      <c r="EQ245" s="1290"/>
      <c r="ER245" s="1290"/>
      <c r="ES245" s="1290"/>
      <c r="ET245" s="1290"/>
      <c r="EU245" s="1290"/>
      <c r="EV245" s="1290"/>
      <c r="EW245" s="1290"/>
      <c r="EX245" s="1290"/>
      <c r="EY245" s="1290"/>
      <c r="EZ245" s="1290"/>
      <c r="FA245" s="1290"/>
      <c r="FB245" s="1290"/>
      <c r="FC245" s="1290"/>
      <c r="FD245" s="1290"/>
      <c r="FE245" s="1290"/>
      <c r="FF245" s="1290"/>
    </row>
    <row r="247" spans="6:162" s="1292" customFormat="1" ht="15.75" customHeight="1">
      <c r="F247" s="1290"/>
      <c r="G247" s="1290"/>
      <c r="H247" s="1290"/>
      <c r="I247" s="1290"/>
      <c r="J247" s="1290"/>
      <c r="K247" s="1290"/>
      <c r="L247" s="1290"/>
      <c r="M247" s="1290"/>
      <c r="N247" s="1290"/>
      <c r="O247" s="1290"/>
      <c r="P247" s="1290"/>
      <c r="Q247" s="1290"/>
      <c r="R247" s="1290"/>
      <c r="S247" s="1290"/>
      <c r="T247" s="1290"/>
      <c r="U247" s="1290"/>
      <c r="V247" s="1290"/>
      <c r="W247" s="1290"/>
      <c r="X247" s="1290"/>
      <c r="Y247" s="1290"/>
      <c r="AA247" s="1290"/>
      <c r="AC247" s="1290"/>
      <c r="AD247" s="1290"/>
      <c r="AE247" s="1290"/>
      <c r="AF247" s="1290"/>
      <c r="AG247" s="1290"/>
      <c r="AH247" s="1291"/>
      <c r="AI247" s="1291"/>
      <c r="AJ247" s="1290"/>
      <c r="AK247" s="1290"/>
      <c r="AL247" s="1290"/>
      <c r="AM247" s="1290"/>
      <c r="AN247" s="1290"/>
      <c r="AO247" s="1290"/>
      <c r="AP247" s="1290"/>
      <c r="AQ247" s="1290"/>
      <c r="AR247" s="1290"/>
      <c r="AS247" s="1290"/>
      <c r="AT247" s="1290"/>
      <c r="AU247" s="1290"/>
      <c r="AV247" s="1290"/>
      <c r="AW247" s="1290"/>
      <c r="AX247" s="1290"/>
      <c r="AY247" s="1290"/>
      <c r="AZ247" s="1290"/>
      <c r="BA247" s="1290"/>
      <c r="BB247" s="1290"/>
      <c r="BC247" s="1290"/>
      <c r="BD247" s="1290"/>
      <c r="BE247" s="1290"/>
      <c r="BF247" s="1290"/>
      <c r="BG247" s="1290"/>
      <c r="BH247" s="1290"/>
      <c r="BI247" s="1290"/>
      <c r="BJ247" s="1290"/>
      <c r="BK247" s="1290"/>
      <c r="BL247" s="1290"/>
      <c r="BM247" s="1290"/>
      <c r="BN247" s="1290"/>
      <c r="BO247" s="1290"/>
      <c r="BP247" s="1290"/>
      <c r="BQ247" s="1290"/>
      <c r="BR247" s="1290"/>
      <c r="BS247" s="1290"/>
      <c r="BT247" s="1290"/>
      <c r="BU247" s="1290"/>
      <c r="BV247" s="1290"/>
      <c r="BW247" s="1290"/>
      <c r="BX247" s="1290"/>
      <c r="BY247" s="1290"/>
      <c r="BZ247" s="1290"/>
      <c r="CA247" s="1290"/>
      <c r="CB247" s="1290"/>
      <c r="CC247" s="1290"/>
      <c r="CD247" s="1290"/>
      <c r="CE247" s="1290"/>
      <c r="CF247" s="1290"/>
      <c r="CG247" s="1290"/>
      <c r="CH247" s="1290"/>
      <c r="CI247" s="1290"/>
      <c r="CJ247" s="1290"/>
      <c r="CK247" s="1290"/>
      <c r="CL247" s="1290"/>
      <c r="CM247" s="1290"/>
      <c r="CN247" s="1290"/>
      <c r="CO247" s="1290"/>
      <c r="CP247" s="1290"/>
      <c r="CQ247" s="1290"/>
      <c r="CR247" s="1290"/>
      <c r="CS247" s="1290"/>
      <c r="CT247" s="1290"/>
      <c r="CU247" s="1290"/>
      <c r="CV247" s="1290"/>
      <c r="CW247" s="1290"/>
      <c r="CX247" s="1290"/>
      <c r="CY247" s="1290"/>
      <c r="CZ247" s="1290"/>
      <c r="DA247" s="1290"/>
      <c r="DB247" s="1290"/>
      <c r="DC247" s="1290"/>
      <c r="DD247" s="1290"/>
      <c r="DE247" s="1290"/>
      <c r="DF247" s="1290"/>
      <c r="DG247" s="1290"/>
      <c r="DH247" s="1290"/>
      <c r="DI247" s="1290"/>
      <c r="DJ247" s="1290"/>
      <c r="DK247" s="1290"/>
      <c r="DL247" s="1290"/>
      <c r="DM247" s="1290"/>
      <c r="DN247" s="1290"/>
      <c r="DO247" s="1290"/>
      <c r="DP247" s="1290"/>
      <c r="DQ247" s="1290"/>
      <c r="DR247" s="1290"/>
      <c r="DS247" s="1290"/>
      <c r="DT247" s="1290"/>
      <c r="DU247" s="1290"/>
      <c r="DV247" s="1290"/>
      <c r="DW247" s="1290"/>
      <c r="DX247" s="1290"/>
      <c r="DY247" s="1290"/>
      <c r="DZ247" s="1290"/>
      <c r="EA247" s="1290"/>
      <c r="EB247" s="1290"/>
      <c r="EC247" s="1290"/>
      <c r="ED247" s="1290"/>
      <c r="EE247" s="1290"/>
      <c r="EF247" s="1290"/>
      <c r="EG247" s="1290"/>
      <c r="EH247" s="1290"/>
      <c r="EI247" s="1290"/>
      <c r="EJ247" s="1290"/>
      <c r="EK247" s="1290"/>
      <c r="EL247" s="1290"/>
      <c r="EM247" s="1290"/>
      <c r="EN247" s="1290"/>
      <c r="EO247" s="1290"/>
      <c r="EP247" s="1290"/>
      <c r="EQ247" s="1290"/>
      <c r="ER247" s="1290"/>
      <c r="ES247" s="1290"/>
      <c r="ET247" s="1290"/>
      <c r="EU247" s="1290"/>
      <c r="EV247" s="1290"/>
      <c r="EW247" s="1290"/>
      <c r="EX247" s="1290"/>
      <c r="EY247" s="1290"/>
      <c r="EZ247" s="1290"/>
      <c r="FA247" s="1290"/>
      <c r="FB247" s="1290"/>
      <c r="FC247" s="1290"/>
      <c r="FD247" s="1290"/>
      <c r="FE247" s="1290"/>
      <c r="FF247" s="1290"/>
    </row>
    <row r="249" spans="6:162" s="1292" customFormat="1" ht="15.75" customHeight="1">
      <c r="F249" s="1290"/>
      <c r="G249" s="1290"/>
      <c r="H249" s="1290"/>
      <c r="I249" s="1290"/>
      <c r="J249" s="1290"/>
      <c r="K249" s="1290"/>
      <c r="L249" s="1290"/>
      <c r="M249" s="1290"/>
      <c r="N249" s="1290"/>
      <c r="O249" s="1290"/>
      <c r="P249" s="1290"/>
      <c r="Q249" s="1290"/>
      <c r="R249" s="1290"/>
      <c r="S249" s="1290"/>
      <c r="T249" s="1290"/>
      <c r="U249" s="1290"/>
      <c r="V249" s="1290"/>
      <c r="W249" s="1290"/>
      <c r="X249" s="1290"/>
      <c r="Y249" s="1290"/>
      <c r="AA249" s="1290"/>
      <c r="AC249" s="1290"/>
      <c r="AD249" s="1290"/>
      <c r="AE249" s="1290"/>
      <c r="AF249" s="1290"/>
      <c r="AG249" s="1290"/>
      <c r="AH249" s="1291"/>
      <c r="AI249" s="1291"/>
      <c r="AJ249" s="1290"/>
      <c r="AK249" s="1290"/>
      <c r="AL249" s="1290"/>
      <c r="AM249" s="1290"/>
      <c r="AN249" s="1290"/>
      <c r="AO249" s="1290"/>
      <c r="AP249" s="1290"/>
      <c r="AQ249" s="1290"/>
      <c r="AR249" s="1290"/>
      <c r="AS249" s="1290"/>
      <c r="AT249" s="1290"/>
      <c r="AU249" s="1290"/>
      <c r="AV249" s="1290"/>
      <c r="AW249" s="1290"/>
      <c r="AX249" s="1290"/>
      <c r="AY249" s="1290"/>
      <c r="AZ249" s="1290"/>
      <c r="BA249" s="1290"/>
      <c r="BB249" s="1290"/>
      <c r="BC249" s="1290"/>
      <c r="BD249" s="1290"/>
      <c r="BE249" s="1290"/>
      <c r="BF249" s="1290"/>
      <c r="BG249" s="1290"/>
      <c r="BH249" s="1290"/>
      <c r="BI249" s="1290"/>
      <c r="BJ249" s="1290"/>
      <c r="BK249" s="1290"/>
      <c r="BL249" s="1290"/>
      <c r="BM249" s="1290"/>
      <c r="BN249" s="1290"/>
      <c r="BO249" s="1290"/>
      <c r="BP249" s="1290"/>
      <c r="BQ249" s="1290"/>
      <c r="BR249" s="1290"/>
      <c r="BS249" s="1290"/>
      <c r="BT249" s="1290"/>
      <c r="BU249" s="1290"/>
      <c r="BV249" s="1290"/>
      <c r="BW249" s="1290"/>
      <c r="BX249" s="1290"/>
      <c r="BY249" s="1290"/>
      <c r="BZ249" s="1290"/>
      <c r="CA249" s="1290"/>
      <c r="CB249" s="1290"/>
      <c r="CC249" s="1290"/>
      <c r="CD249" s="1290"/>
      <c r="CE249" s="1290"/>
      <c r="CF249" s="1290"/>
      <c r="CG249" s="1290"/>
      <c r="CH249" s="1290"/>
      <c r="CI249" s="1290"/>
      <c r="CJ249" s="1290"/>
      <c r="CK249" s="1290"/>
      <c r="CL249" s="1290"/>
      <c r="CM249" s="1290"/>
      <c r="CN249" s="1290"/>
      <c r="CO249" s="1290"/>
      <c r="CP249" s="1290"/>
      <c r="CQ249" s="1290"/>
      <c r="CR249" s="1290"/>
      <c r="CS249" s="1290"/>
      <c r="CT249" s="1290"/>
      <c r="CU249" s="1290"/>
      <c r="CV249" s="1290"/>
      <c r="CW249" s="1290"/>
      <c r="CX249" s="1290"/>
      <c r="CY249" s="1290"/>
      <c r="CZ249" s="1290"/>
      <c r="DA249" s="1290"/>
      <c r="DB249" s="1290"/>
      <c r="DC249" s="1290"/>
      <c r="DD249" s="1290"/>
      <c r="DE249" s="1290"/>
      <c r="DF249" s="1290"/>
      <c r="DG249" s="1290"/>
      <c r="DH249" s="1290"/>
      <c r="DI249" s="1290"/>
      <c r="DJ249" s="1290"/>
      <c r="DK249" s="1290"/>
      <c r="DL249" s="1290"/>
      <c r="DM249" s="1290"/>
      <c r="DN249" s="1290"/>
      <c r="DO249" s="1290"/>
      <c r="DP249" s="1290"/>
      <c r="DQ249" s="1290"/>
      <c r="DR249" s="1290"/>
      <c r="DS249" s="1290"/>
      <c r="DT249" s="1290"/>
      <c r="DU249" s="1290"/>
      <c r="DV249" s="1290"/>
      <c r="DW249" s="1290"/>
      <c r="DX249" s="1290"/>
      <c r="DY249" s="1290"/>
      <c r="DZ249" s="1290"/>
      <c r="EA249" s="1290"/>
      <c r="EB249" s="1290"/>
      <c r="EC249" s="1290"/>
      <c r="ED249" s="1290"/>
      <c r="EE249" s="1290"/>
      <c r="EF249" s="1290"/>
      <c r="EG249" s="1290"/>
      <c r="EH249" s="1290"/>
      <c r="EI249" s="1290"/>
      <c r="EJ249" s="1290"/>
      <c r="EK249" s="1290"/>
      <c r="EL249" s="1290"/>
      <c r="EM249" s="1290"/>
      <c r="EN249" s="1290"/>
      <c r="EO249" s="1290"/>
      <c r="EP249" s="1290"/>
      <c r="EQ249" s="1290"/>
      <c r="ER249" s="1290"/>
      <c r="ES249" s="1290"/>
      <c r="ET249" s="1290"/>
      <c r="EU249" s="1290"/>
      <c r="EV249" s="1290"/>
      <c r="EW249" s="1290"/>
      <c r="EX249" s="1290"/>
      <c r="EY249" s="1290"/>
      <c r="EZ249" s="1290"/>
      <c r="FA249" s="1290"/>
      <c r="FB249" s="1290"/>
      <c r="FC249" s="1290"/>
      <c r="FD249" s="1290"/>
      <c r="FE249" s="1290"/>
      <c r="FF249" s="1290"/>
    </row>
    <row r="251" spans="6:162" s="1292" customFormat="1" ht="15.75" customHeight="1">
      <c r="F251" s="1290"/>
      <c r="G251" s="1290"/>
      <c r="H251" s="1290"/>
      <c r="I251" s="1290"/>
      <c r="J251" s="1290"/>
      <c r="K251" s="1290"/>
      <c r="L251" s="1290"/>
      <c r="M251" s="1290"/>
      <c r="N251" s="1290"/>
      <c r="O251" s="1290"/>
      <c r="P251" s="1290"/>
      <c r="Q251" s="1290"/>
      <c r="R251" s="1290"/>
      <c r="S251" s="1290"/>
      <c r="T251" s="1290"/>
      <c r="U251" s="1290"/>
      <c r="V251" s="1290"/>
      <c r="W251" s="1290"/>
      <c r="X251" s="1290"/>
      <c r="Y251" s="1290"/>
      <c r="AA251" s="1290"/>
      <c r="AC251" s="1290"/>
      <c r="AD251" s="1290"/>
      <c r="AE251" s="1290"/>
      <c r="AF251" s="1290"/>
      <c r="AG251" s="1290"/>
      <c r="AH251" s="1291"/>
      <c r="AI251" s="1291"/>
      <c r="AJ251" s="1290"/>
      <c r="AK251" s="1290"/>
      <c r="AL251" s="1290"/>
      <c r="AM251" s="1290"/>
      <c r="AN251" s="1290"/>
      <c r="AO251" s="1290"/>
      <c r="AP251" s="1290"/>
      <c r="AQ251" s="1290"/>
      <c r="AR251" s="1290"/>
      <c r="AS251" s="1290"/>
      <c r="AT251" s="1290"/>
      <c r="AU251" s="1290"/>
      <c r="AV251" s="1290"/>
      <c r="AW251" s="1290"/>
      <c r="AX251" s="1290"/>
      <c r="AY251" s="1290"/>
      <c r="AZ251" s="1290"/>
      <c r="BA251" s="1290"/>
      <c r="BB251" s="1290"/>
      <c r="BC251" s="1290"/>
      <c r="BD251" s="1290"/>
      <c r="BE251" s="1290"/>
      <c r="BF251" s="1290"/>
      <c r="BG251" s="1290"/>
      <c r="BH251" s="1290"/>
      <c r="BI251" s="1290"/>
      <c r="BJ251" s="1290"/>
      <c r="BK251" s="1290"/>
      <c r="BL251" s="1290"/>
      <c r="BM251" s="1290"/>
      <c r="BN251" s="1290"/>
      <c r="BO251" s="1290"/>
      <c r="BP251" s="1290"/>
      <c r="BQ251" s="1290"/>
      <c r="BR251" s="1290"/>
      <c r="BS251" s="1290"/>
      <c r="BT251" s="1290"/>
      <c r="BU251" s="1290"/>
      <c r="BV251" s="1290"/>
      <c r="BW251" s="1290"/>
      <c r="BX251" s="1290"/>
      <c r="BY251" s="1290"/>
      <c r="BZ251" s="1290"/>
      <c r="CA251" s="1290"/>
      <c r="CB251" s="1290"/>
      <c r="CC251" s="1290"/>
      <c r="CD251" s="1290"/>
      <c r="CE251" s="1290"/>
      <c r="CF251" s="1290"/>
      <c r="CG251" s="1290"/>
      <c r="CH251" s="1290"/>
      <c r="CI251" s="1290"/>
      <c r="CJ251" s="1290"/>
      <c r="CK251" s="1290"/>
      <c r="CL251" s="1290"/>
      <c r="CM251" s="1290"/>
      <c r="CN251" s="1290"/>
      <c r="CO251" s="1290"/>
      <c r="CP251" s="1290"/>
      <c r="CQ251" s="1290"/>
      <c r="CR251" s="1290"/>
      <c r="CS251" s="1290"/>
      <c r="CT251" s="1290"/>
      <c r="CU251" s="1290"/>
      <c r="CV251" s="1290"/>
      <c r="CW251" s="1290"/>
      <c r="CX251" s="1290"/>
      <c r="CY251" s="1290"/>
      <c r="CZ251" s="1290"/>
      <c r="DA251" s="1290"/>
      <c r="DB251" s="1290"/>
      <c r="DC251" s="1290"/>
      <c r="DD251" s="1290"/>
      <c r="DE251" s="1290"/>
      <c r="DF251" s="1290"/>
      <c r="DG251" s="1290"/>
      <c r="DH251" s="1290"/>
      <c r="DI251" s="1290"/>
      <c r="DJ251" s="1290"/>
      <c r="DK251" s="1290"/>
      <c r="DL251" s="1290"/>
      <c r="DM251" s="1290"/>
      <c r="DN251" s="1290"/>
      <c r="DO251" s="1290"/>
      <c r="DP251" s="1290"/>
      <c r="DQ251" s="1290"/>
      <c r="DR251" s="1290"/>
      <c r="DS251" s="1290"/>
      <c r="DT251" s="1290"/>
      <c r="DU251" s="1290"/>
      <c r="DV251" s="1290"/>
      <c r="DW251" s="1290"/>
      <c r="DX251" s="1290"/>
      <c r="DY251" s="1290"/>
      <c r="DZ251" s="1290"/>
      <c r="EA251" s="1290"/>
      <c r="EB251" s="1290"/>
      <c r="EC251" s="1290"/>
      <c r="ED251" s="1290"/>
      <c r="EE251" s="1290"/>
      <c r="EF251" s="1290"/>
      <c r="EG251" s="1290"/>
      <c r="EH251" s="1290"/>
      <c r="EI251" s="1290"/>
      <c r="EJ251" s="1290"/>
      <c r="EK251" s="1290"/>
      <c r="EL251" s="1290"/>
      <c r="EM251" s="1290"/>
      <c r="EN251" s="1290"/>
      <c r="EO251" s="1290"/>
      <c r="EP251" s="1290"/>
      <c r="EQ251" s="1290"/>
      <c r="ER251" s="1290"/>
      <c r="ES251" s="1290"/>
      <c r="ET251" s="1290"/>
      <c r="EU251" s="1290"/>
      <c r="EV251" s="1290"/>
      <c r="EW251" s="1290"/>
      <c r="EX251" s="1290"/>
      <c r="EY251" s="1290"/>
      <c r="EZ251" s="1290"/>
      <c r="FA251" s="1290"/>
      <c r="FB251" s="1290"/>
      <c r="FC251" s="1290"/>
      <c r="FD251" s="1290"/>
      <c r="FE251" s="1290"/>
      <c r="FF251" s="1290"/>
    </row>
    <row r="253" spans="6:162" s="1292" customFormat="1" ht="15.75" customHeight="1">
      <c r="F253" s="1290"/>
      <c r="G253" s="1290"/>
      <c r="H253" s="1290"/>
      <c r="I253" s="1290"/>
      <c r="J253" s="1290"/>
      <c r="K253" s="1290"/>
      <c r="L253" s="1290"/>
      <c r="M253" s="1290"/>
      <c r="N253" s="1290"/>
      <c r="O253" s="1290"/>
      <c r="P253" s="1290"/>
      <c r="Q253" s="1290"/>
      <c r="R253" s="1290"/>
      <c r="S253" s="1290"/>
      <c r="T253" s="1290"/>
      <c r="U253" s="1290"/>
      <c r="V253" s="1290"/>
      <c r="W253" s="1290"/>
      <c r="X253" s="1290"/>
      <c r="Y253" s="1290"/>
      <c r="AA253" s="1290"/>
      <c r="AC253" s="1290"/>
      <c r="AD253" s="1290"/>
      <c r="AE253" s="1290"/>
      <c r="AF253" s="1290"/>
      <c r="AG253" s="1290"/>
      <c r="AH253" s="1291"/>
      <c r="AI253" s="1291"/>
      <c r="AJ253" s="1290"/>
      <c r="AK253" s="1290"/>
      <c r="AL253" s="1290"/>
      <c r="AM253" s="1290"/>
      <c r="AN253" s="1290"/>
      <c r="AO253" s="1290"/>
      <c r="AP253" s="1290"/>
      <c r="AQ253" s="1290"/>
      <c r="AR253" s="1290"/>
      <c r="AS253" s="1290"/>
      <c r="AT253" s="1290"/>
      <c r="AU253" s="1290"/>
      <c r="AV253" s="1290"/>
      <c r="AW253" s="1290"/>
      <c r="AX253" s="1290"/>
      <c r="AY253" s="1290"/>
      <c r="AZ253" s="1290"/>
      <c r="BA253" s="1290"/>
      <c r="BB253" s="1290"/>
      <c r="BC253" s="1290"/>
      <c r="BD253" s="1290"/>
      <c r="BE253" s="1290"/>
      <c r="BF253" s="1290"/>
      <c r="BG253" s="1290"/>
      <c r="BH253" s="1290"/>
      <c r="BI253" s="1290"/>
      <c r="BJ253" s="1290"/>
      <c r="BK253" s="1290"/>
      <c r="BL253" s="1290"/>
      <c r="BM253" s="1290"/>
      <c r="BN253" s="1290"/>
      <c r="BO253" s="1290"/>
      <c r="BP253" s="1290"/>
      <c r="BQ253" s="1290"/>
      <c r="BR253" s="1290"/>
      <c r="BS253" s="1290"/>
      <c r="BT253" s="1290"/>
      <c r="BU253" s="1290"/>
      <c r="BV253" s="1290"/>
      <c r="BW253" s="1290"/>
      <c r="BX253" s="1290"/>
      <c r="BY253" s="1290"/>
      <c r="BZ253" s="1290"/>
      <c r="CA253" s="1290"/>
      <c r="CB253" s="1290"/>
      <c r="CC253" s="1290"/>
      <c r="CD253" s="1290"/>
      <c r="CE253" s="1290"/>
      <c r="CF253" s="1290"/>
      <c r="CG253" s="1290"/>
      <c r="CH253" s="1290"/>
      <c r="CI253" s="1290"/>
      <c r="CJ253" s="1290"/>
      <c r="CK253" s="1290"/>
      <c r="CL253" s="1290"/>
      <c r="CM253" s="1290"/>
      <c r="CN253" s="1290"/>
      <c r="CO253" s="1290"/>
      <c r="CP253" s="1290"/>
      <c r="CQ253" s="1290"/>
      <c r="CR253" s="1290"/>
      <c r="CS253" s="1290"/>
      <c r="CT253" s="1290"/>
      <c r="CU253" s="1290"/>
      <c r="CV253" s="1290"/>
      <c r="CW253" s="1290"/>
      <c r="CX253" s="1290"/>
      <c r="CY253" s="1290"/>
      <c r="CZ253" s="1290"/>
      <c r="DA253" s="1290"/>
      <c r="DB253" s="1290"/>
      <c r="DC253" s="1290"/>
      <c r="DD253" s="1290"/>
      <c r="DE253" s="1290"/>
      <c r="DF253" s="1290"/>
      <c r="DG253" s="1290"/>
      <c r="DH253" s="1290"/>
      <c r="DI253" s="1290"/>
      <c r="DJ253" s="1290"/>
      <c r="DK253" s="1290"/>
      <c r="DL253" s="1290"/>
      <c r="DM253" s="1290"/>
      <c r="DN253" s="1290"/>
      <c r="DO253" s="1290"/>
      <c r="DP253" s="1290"/>
      <c r="DQ253" s="1290"/>
      <c r="DR253" s="1290"/>
      <c r="DS253" s="1290"/>
      <c r="DT253" s="1290"/>
      <c r="DU253" s="1290"/>
      <c r="DV253" s="1290"/>
      <c r="DW253" s="1290"/>
      <c r="DX253" s="1290"/>
      <c r="DY253" s="1290"/>
      <c r="DZ253" s="1290"/>
      <c r="EA253" s="1290"/>
      <c r="EB253" s="1290"/>
      <c r="EC253" s="1290"/>
      <c r="ED253" s="1290"/>
      <c r="EE253" s="1290"/>
      <c r="EF253" s="1290"/>
      <c r="EG253" s="1290"/>
      <c r="EH253" s="1290"/>
      <c r="EI253" s="1290"/>
      <c r="EJ253" s="1290"/>
      <c r="EK253" s="1290"/>
      <c r="EL253" s="1290"/>
      <c r="EM253" s="1290"/>
      <c r="EN253" s="1290"/>
      <c r="EO253" s="1290"/>
      <c r="EP253" s="1290"/>
      <c r="EQ253" s="1290"/>
      <c r="ER253" s="1290"/>
      <c r="ES253" s="1290"/>
      <c r="ET253" s="1290"/>
      <c r="EU253" s="1290"/>
      <c r="EV253" s="1290"/>
      <c r="EW253" s="1290"/>
      <c r="EX253" s="1290"/>
      <c r="EY253" s="1290"/>
      <c r="EZ253" s="1290"/>
      <c r="FA253" s="1290"/>
      <c r="FB253" s="1290"/>
      <c r="FC253" s="1290"/>
      <c r="FD253" s="1290"/>
      <c r="FE253" s="1290"/>
      <c r="FF253" s="1290"/>
    </row>
    <row r="255" spans="6:162" s="1292" customFormat="1" ht="15.75" customHeight="1">
      <c r="F255" s="1290"/>
      <c r="G255" s="1290"/>
      <c r="H255" s="1290"/>
      <c r="I255" s="1290"/>
      <c r="J255" s="1290"/>
      <c r="K255" s="1290"/>
      <c r="L255" s="1290"/>
      <c r="M255" s="1290"/>
      <c r="N255" s="1290"/>
      <c r="O255" s="1290"/>
      <c r="P255" s="1290"/>
      <c r="Q255" s="1290"/>
      <c r="R255" s="1290"/>
      <c r="S255" s="1290"/>
      <c r="T255" s="1290"/>
      <c r="U255" s="1290"/>
      <c r="V255" s="1290"/>
      <c r="W255" s="1290"/>
      <c r="X255" s="1290"/>
      <c r="Y255" s="1290"/>
      <c r="AA255" s="1290"/>
      <c r="AC255" s="1290"/>
      <c r="AD255" s="1290"/>
      <c r="AE255" s="1290"/>
      <c r="AF255" s="1290"/>
      <c r="AG255" s="1290"/>
      <c r="AH255" s="1291"/>
      <c r="AI255" s="1291"/>
      <c r="AJ255" s="1290"/>
      <c r="AK255" s="1290"/>
      <c r="AL255" s="1290"/>
      <c r="AM255" s="1290"/>
      <c r="AN255" s="1290"/>
      <c r="AO255" s="1290"/>
      <c r="AP255" s="1290"/>
      <c r="AQ255" s="1290"/>
      <c r="AR255" s="1290"/>
      <c r="AS255" s="1290"/>
      <c r="AT255" s="1290"/>
      <c r="AU255" s="1290"/>
      <c r="AV255" s="1290"/>
      <c r="AW255" s="1290"/>
      <c r="AX255" s="1290"/>
      <c r="AY255" s="1290"/>
      <c r="AZ255" s="1290"/>
      <c r="BA255" s="1290"/>
      <c r="BB255" s="1290"/>
      <c r="BC255" s="1290"/>
      <c r="BD255" s="1290"/>
      <c r="BE255" s="1290"/>
      <c r="BF255" s="1290"/>
      <c r="BG255" s="1290"/>
      <c r="BH255" s="1290"/>
      <c r="BI255" s="1290"/>
      <c r="BJ255" s="1290"/>
      <c r="BK255" s="1290"/>
      <c r="BL255" s="1290"/>
      <c r="BM255" s="1290"/>
      <c r="BN255" s="1290"/>
      <c r="BO255" s="1290"/>
      <c r="BP255" s="1290"/>
      <c r="BQ255" s="1290"/>
      <c r="BR255" s="1290"/>
      <c r="BS255" s="1290"/>
      <c r="BT255" s="1290"/>
      <c r="BU255" s="1290"/>
      <c r="BV255" s="1290"/>
      <c r="BW255" s="1290"/>
      <c r="BX255" s="1290"/>
      <c r="BY255" s="1290"/>
      <c r="BZ255" s="1290"/>
      <c r="CA255" s="1290"/>
      <c r="CB255" s="1290"/>
      <c r="CC255" s="1290"/>
      <c r="CD255" s="1290"/>
      <c r="CE255" s="1290"/>
      <c r="CF255" s="1290"/>
      <c r="CG255" s="1290"/>
      <c r="CH255" s="1290"/>
      <c r="CI255" s="1290"/>
      <c r="CJ255" s="1290"/>
      <c r="CK255" s="1290"/>
      <c r="CL255" s="1290"/>
      <c r="CM255" s="1290"/>
      <c r="CN255" s="1290"/>
      <c r="CO255" s="1290"/>
      <c r="CP255" s="1290"/>
      <c r="CQ255" s="1290"/>
      <c r="CR255" s="1290"/>
      <c r="CS255" s="1290"/>
      <c r="CT255" s="1290"/>
      <c r="CU255" s="1290"/>
      <c r="CV255" s="1290"/>
      <c r="CW255" s="1290"/>
      <c r="CX255" s="1290"/>
      <c r="CY255" s="1290"/>
      <c r="CZ255" s="1290"/>
      <c r="DA255" s="1290"/>
      <c r="DB255" s="1290"/>
      <c r="DC255" s="1290"/>
      <c r="DD255" s="1290"/>
      <c r="DE255" s="1290"/>
      <c r="DF255" s="1290"/>
      <c r="DG255" s="1290"/>
      <c r="DH255" s="1290"/>
      <c r="DI255" s="1290"/>
      <c r="DJ255" s="1290"/>
      <c r="DK255" s="1290"/>
      <c r="DL255" s="1290"/>
      <c r="DM255" s="1290"/>
      <c r="DN255" s="1290"/>
      <c r="DO255" s="1290"/>
      <c r="DP255" s="1290"/>
      <c r="DQ255" s="1290"/>
      <c r="DR255" s="1290"/>
      <c r="DS255" s="1290"/>
      <c r="DT255" s="1290"/>
      <c r="DU255" s="1290"/>
      <c r="DV255" s="1290"/>
      <c r="DW255" s="1290"/>
      <c r="DX255" s="1290"/>
      <c r="DY255" s="1290"/>
      <c r="DZ255" s="1290"/>
      <c r="EA255" s="1290"/>
      <c r="EB255" s="1290"/>
      <c r="EC255" s="1290"/>
      <c r="ED255" s="1290"/>
      <c r="EE255" s="1290"/>
      <c r="EF255" s="1290"/>
      <c r="EG255" s="1290"/>
      <c r="EH255" s="1290"/>
      <c r="EI255" s="1290"/>
      <c r="EJ255" s="1290"/>
      <c r="EK255" s="1290"/>
      <c r="EL255" s="1290"/>
      <c r="EM255" s="1290"/>
      <c r="EN255" s="1290"/>
      <c r="EO255" s="1290"/>
      <c r="EP255" s="1290"/>
      <c r="EQ255" s="1290"/>
      <c r="ER255" s="1290"/>
      <c r="ES255" s="1290"/>
      <c r="ET255" s="1290"/>
      <c r="EU255" s="1290"/>
      <c r="EV255" s="1290"/>
      <c r="EW255" s="1290"/>
      <c r="EX255" s="1290"/>
      <c r="EY255" s="1290"/>
      <c r="EZ255" s="1290"/>
      <c r="FA255" s="1290"/>
      <c r="FB255" s="1290"/>
      <c r="FC255" s="1290"/>
      <c r="FD255" s="1290"/>
      <c r="FE255" s="1290"/>
      <c r="FF255" s="1290"/>
    </row>
    <row r="257" spans="6:162" s="1292" customFormat="1" ht="15.75" customHeight="1">
      <c r="F257" s="1290"/>
      <c r="G257" s="1290"/>
      <c r="H257" s="1290"/>
      <c r="I257" s="1290"/>
      <c r="J257" s="1290"/>
      <c r="K257" s="1290"/>
      <c r="L257" s="1290"/>
      <c r="M257" s="1290"/>
      <c r="N257" s="1290"/>
      <c r="O257" s="1290"/>
      <c r="P257" s="1290"/>
      <c r="Q257" s="1290"/>
      <c r="R257" s="1290"/>
      <c r="S257" s="1290"/>
      <c r="T257" s="1290"/>
      <c r="U257" s="1290"/>
      <c r="V257" s="1290"/>
      <c r="W257" s="1290"/>
      <c r="X257" s="1290"/>
      <c r="Y257" s="1290"/>
      <c r="AA257" s="1290"/>
      <c r="AC257" s="1290"/>
      <c r="AD257" s="1290"/>
      <c r="AE257" s="1290"/>
      <c r="AF257" s="1290"/>
      <c r="AG257" s="1290"/>
      <c r="AH257" s="1291"/>
      <c r="AI257" s="1291"/>
      <c r="AJ257" s="1290"/>
      <c r="AK257" s="1290"/>
      <c r="AL257" s="1290"/>
      <c r="AM257" s="1290"/>
      <c r="AN257" s="1290"/>
      <c r="AO257" s="1290"/>
      <c r="AP257" s="1290"/>
      <c r="AQ257" s="1290"/>
      <c r="AR257" s="1290"/>
      <c r="AS257" s="1290"/>
      <c r="AT257" s="1290"/>
      <c r="AU257" s="1290"/>
      <c r="AV257" s="1290"/>
      <c r="AW257" s="1290"/>
      <c r="AX257" s="1290"/>
      <c r="AY257" s="1290"/>
      <c r="AZ257" s="1290"/>
      <c r="BA257" s="1290"/>
      <c r="BB257" s="1290"/>
      <c r="BC257" s="1290"/>
      <c r="BD257" s="1290"/>
      <c r="BE257" s="1290"/>
      <c r="BF257" s="1290"/>
      <c r="BG257" s="1290"/>
      <c r="BH257" s="1290"/>
      <c r="BI257" s="1290"/>
      <c r="BJ257" s="1290"/>
      <c r="BK257" s="1290"/>
      <c r="BL257" s="1290"/>
      <c r="BM257" s="1290"/>
      <c r="BN257" s="1290"/>
      <c r="BO257" s="1290"/>
      <c r="BP257" s="1290"/>
      <c r="BQ257" s="1290"/>
      <c r="BR257" s="1290"/>
      <c r="BS257" s="1290"/>
      <c r="BT257" s="1290"/>
      <c r="BU257" s="1290"/>
      <c r="BV257" s="1290"/>
      <c r="BW257" s="1290"/>
      <c r="BX257" s="1290"/>
      <c r="BY257" s="1290"/>
      <c r="BZ257" s="1290"/>
      <c r="CA257" s="1290"/>
      <c r="CB257" s="1290"/>
      <c r="CC257" s="1290"/>
      <c r="CD257" s="1290"/>
      <c r="CE257" s="1290"/>
      <c r="CF257" s="1290"/>
      <c r="CG257" s="1290"/>
      <c r="CH257" s="1290"/>
      <c r="CI257" s="1290"/>
      <c r="CJ257" s="1290"/>
      <c r="CK257" s="1290"/>
      <c r="CL257" s="1290"/>
      <c r="CM257" s="1290"/>
      <c r="CN257" s="1290"/>
      <c r="CO257" s="1290"/>
      <c r="CP257" s="1290"/>
      <c r="CQ257" s="1290"/>
      <c r="CR257" s="1290"/>
      <c r="CS257" s="1290"/>
      <c r="CT257" s="1290"/>
      <c r="CU257" s="1290"/>
      <c r="CV257" s="1290"/>
      <c r="CW257" s="1290"/>
      <c r="CX257" s="1290"/>
      <c r="CY257" s="1290"/>
      <c r="CZ257" s="1290"/>
      <c r="DA257" s="1290"/>
      <c r="DB257" s="1290"/>
      <c r="DC257" s="1290"/>
      <c r="DD257" s="1290"/>
      <c r="DE257" s="1290"/>
      <c r="DF257" s="1290"/>
      <c r="DG257" s="1290"/>
      <c r="DH257" s="1290"/>
      <c r="DI257" s="1290"/>
      <c r="DJ257" s="1290"/>
      <c r="DK257" s="1290"/>
      <c r="DL257" s="1290"/>
      <c r="DM257" s="1290"/>
      <c r="DN257" s="1290"/>
      <c r="DO257" s="1290"/>
      <c r="DP257" s="1290"/>
      <c r="DQ257" s="1290"/>
      <c r="DR257" s="1290"/>
      <c r="DS257" s="1290"/>
      <c r="DT257" s="1290"/>
      <c r="DU257" s="1290"/>
      <c r="DV257" s="1290"/>
      <c r="DW257" s="1290"/>
      <c r="DX257" s="1290"/>
      <c r="DY257" s="1290"/>
      <c r="DZ257" s="1290"/>
      <c r="EA257" s="1290"/>
      <c r="EB257" s="1290"/>
      <c r="EC257" s="1290"/>
      <c r="ED257" s="1290"/>
      <c r="EE257" s="1290"/>
      <c r="EF257" s="1290"/>
      <c r="EG257" s="1290"/>
      <c r="EH257" s="1290"/>
      <c r="EI257" s="1290"/>
      <c r="EJ257" s="1290"/>
      <c r="EK257" s="1290"/>
      <c r="EL257" s="1290"/>
      <c r="EM257" s="1290"/>
      <c r="EN257" s="1290"/>
      <c r="EO257" s="1290"/>
      <c r="EP257" s="1290"/>
      <c r="EQ257" s="1290"/>
      <c r="ER257" s="1290"/>
      <c r="ES257" s="1290"/>
      <c r="ET257" s="1290"/>
      <c r="EU257" s="1290"/>
      <c r="EV257" s="1290"/>
      <c r="EW257" s="1290"/>
      <c r="EX257" s="1290"/>
      <c r="EY257" s="1290"/>
      <c r="EZ257" s="1290"/>
      <c r="FA257" s="1290"/>
      <c r="FB257" s="1290"/>
      <c r="FC257" s="1290"/>
      <c r="FD257" s="1290"/>
      <c r="FE257" s="1290"/>
      <c r="FF257" s="1290"/>
    </row>
    <row r="259" spans="6:162" s="1292" customFormat="1" ht="15.75" customHeight="1">
      <c r="F259" s="1290"/>
      <c r="G259" s="1290"/>
      <c r="H259" s="1290"/>
      <c r="I259" s="1290"/>
      <c r="J259" s="1290"/>
      <c r="K259" s="1290"/>
      <c r="L259" s="1290"/>
      <c r="M259" s="1290"/>
      <c r="N259" s="1290"/>
      <c r="O259" s="1290"/>
      <c r="P259" s="1290"/>
      <c r="Q259" s="1290"/>
      <c r="R259" s="1290"/>
      <c r="S259" s="1290"/>
      <c r="T259" s="1290"/>
      <c r="U259" s="1290"/>
      <c r="V259" s="1290"/>
      <c r="W259" s="1290"/>
      <c r="X259" s="1290"/>
      <c r="Y259" s="1290"/>
      <c r="AA259" s="1290"/>
      <c r="AC259" s="1290"/>
      <c r="AD259" s="1290"/>
      <c r="AE259" s="1290"/>
      <c r="AF259" s="1290"/>
      <c r="AG259" s="1290"/>
      <c r="AH259" s="1291"/>
      <c r="AI259" s="1291"/>
      <c r="AJ259" s="1290"/>
      <c r="AK259" s="1290"/>
      <c r="AL259" s="1290"/>
      <c r="AM259" s="1290"/>
      <c r="AN259" s="1290"/>
      <c r="AO259" s="1290"/>
      <c r="AP259" s="1290"/>
      <c r="AQ259" s="1290"/>
      <c r="AR259" s="1290"/>
      <c r="AS259" s="1290"/>
      <c r="AT259" s="1290"/>
      <c r="AU259" s="1290"/>
      <c r="AV259" s="1290"/>
      <c r="AW259" s="1290"/>
      <c r="AX259" s="1290"/>
      <c r="AY259" s="1290"/>
      <c r="AZ259" s="1290"/>
      <c r="BA259" s="1290"/>
      <c r="BB259" s="1290"/>
      <c r="BC259" s="1290"/>
      <c r="BD259" s="1290"/>
      <c r="BE259" s="1290"/>
      <c r="BF259" s="1290"/>
      <c r="BG259" s="1290"/>
      <c r="BH259" s="1290"/>
      <c r="BI259" s="1290"/>
      <c r="BJ259" s="1290"/>
      <c r="BK259" s="1290"/>
      <c r="BL259" s="1290"/>
      <c r="BM259" s="1290"/>
      <c r="BN259" s="1290"/>
      <c r="BO259" s="1290"/>
      <c r="BP259" s="1290"/>
      <c r="BQ259" s="1290"/>
      <c r="BR259" s="1290"/>
      <c r="BS259" s="1290"/>
      <c r="BT259" s="1290"/>
      <c r="BU259" s="1290"/>
      <c r="BV259" s="1290"/>
      <c r="BW259" s="1290"/>
      <c r="BX259" s="1290"/>
      <c r="BY259" s="1290"/>
      <c r="BZ259" s="1290"/>
      <c r="CA259" s="1290"/>
      <c r="CB259" s="1290"/>
      <c r="CC259" s="1290"/>
      <c r="CD259" s="1290"/>
      <c r="CE259" s="1290"/>
      <c r="CF259" s="1290"/>
      <c r="CG259" s="1290"/>
      <c r="CH259" s="1290"/>
      <c r="CI259" s="1290"/>
      <c r="CJ259" s="1290"/>
      <c r="CK259" s="1290"/>
      <c r="CL259" s="1290"/>
      <c r="CM259" s="1290"/>
      <c r="CN259" s="1290"/>
      <c r="CO259" s="1290"/>
      <c r="CP259" s="1290"/>
      <c r="CQ259" s="1290"/>
      <c r="CR259" s="1290"/>
      <c r="CS259" s="1290"/>
      <c r="CT259" s="1290"/>
      <c r="CU259" s="1290"/>
      <c r="CV259" s="1290"/>
      <c r="CW259" s="1290"/>
      <c r="CX259" s="1290"/>
      <c r="CY259" s="1290"/>
      <c r="CZ259" s="1290"/>
      <c r="DA259" s="1290"/>
      <c r="DB259" s="1290"/>
      <c r="DC259" s="1290"/>
      <c r="DD259" s="1290"/>
      <c r="DE259" s="1290"/>
      <c r="DF259" s="1290"/>
      <c r="DG259" s="1290"/>
      <c r="DH259" s="1290"/>
      <c r="DI259" s="1290"/>
      <c r="DJ259" s="1290"/>
      <c r="DK259" s="1290"/>
      <c r="DL259" s="1290"/>
      <c r="DM259" s="1290"/>
      <c r="DN259" s="1290"/>
      <c r="DO259" s="1290"/>
      <c r="DP259" s="1290"/>
      <c r="DQ259" s="1290"/>
      <c r="DR259" s="1290"/>
      <c r="DS259" s="1290"/>
      <c r="DT259" s="1290"/>
      <c r="DU259" s="1290"/>
      <c r="DV259" s="1290"/>
      <c r="DW259" s="1290"/>
      <c r="DX259" s="1290"/>
      <c r="DY259" s="1290"/>
      <c r="DZ259" s="1290"/>
      <c r="EA259" s="1290"/>
      <c r="EB259" s="1290"/>
      <c r="EC259" s="1290"/>
      <c r="ED259" s="1290"/>
      <c r="EE259" s="1290"/>
      <c r="EF259" s="1290"/>
      <c r="EG259" s="1290"/>
      <c r="EH259" s="1290"/>
      <c r="EI259" s="1290"/>
      <c r="EJ259" s="1290"/>
      <c r="EK259" s="1290"/>
      <c r="EL259" s="1290"/>
      <c r="EM259" s="1290"/>
      <c r="EN259" s="1290"/>
      <c r="EO259" s="1290"/>
      <c r="EP259" s="1290"/>
      <c r="EQ259" s="1290"/>
      <c r="ER259" s="1290"/>
      <c r="ES259" s="1290"/>
      <c r="ET259" s="1290"/>
      <c r="EU259" s="1290"/>
      <c r="EV259" s="1290"/>
      <c r="EW259" s="1290"/>
      <c r="EX259" s="1290"/>
      <c r="EY259" s="1290"/>
      <c r="EZ259" s="1290"/>
      <c r="FA259" s="1290"/>
      <c r="FB259" s="1290"/>
      <c r="FC259" s="1290"/>
      <c r="FD259" s="1290"/>
      <c r="FE259" s="1290"/>
      <c r="FF259" s="1290"/>
    </row>
    <row r="261" spans="6:162" s="1292" customFormat="1" ht="15.75" customHeight="1">
      <c r="F261" s="1290"/>
      <c r="G261" s="1290"/>
      <c r="H261" s="1290"/>
      <c r="I261" s="1290"/>
      <c r="J261" s="1290"/>
      <c r="K261" s="1290"/>
      <c r="L261" s="1290"/>
      <c r="M261" s="1290"/>
      <c r="N261" s="1290"/>
      <c r="O261" s="1290"/>
      <c r="P261" s="1290"/>
      <c r="Q261" s="1290"/>
      <c r="R261" s="1290"/>
      <c r="S261" s="1290"/>
      <c r="T261" s="1290"/>
      <c r="U261" s="1290"/>
      <c r="V261" s="1290"/>
      <c r="W261" s="1290"/>
      <c r="X261" s="1290"/>
      <c r="Y261" s="1290"/>
      <c r="AA261" s="1290"/>
      <c r="AC261" s="1290"/>
      <c r="AD261" s="1290"/>
      <c r="AE261" s="1290"/>
      <c r="AF261" s="1290"/>
      <c r="AG261" s="1290"/>
      <c r="AH261" s="1291"/>
      <c r="AI261" s="1291"/>
      <c r="AJ261" s="1290"/>
      <c r="AK261" s="1290"/>
      <c r="AL261" s="1290"/>
      <c r="AM261" s="1290"/>
      <c r="AN261" s="1290"/>
      <c r="AO261" s="1290"/>
      <c r="AP261" s="1290"/>
      <c r="AQ261" s="1290"/>
      <c r="AR261" s="1290"/>
      <c r="AS261" s="1290"/>
      <c r="AT261" s="1290"/>
      <c r="AU261" s="1290"/>
      <c r="AV261" s="1290"/>
      <c r="AW261" s="1290"/>
      <c r="AX261" s="1290"/>
      <c r="AY261" s="1290"/>
      <c r="AZ261" s="1290"/>
      <c r="BA261" s="1290"/>
      <c r="BB261" s="1290"/>
      <c r="BC261" s="1290"/>
      <c r="BD261" s="1290"/>
      <c r="BE261" s="1290"/>
      <c r="BF261" s="1290"/>
      <c r="BG261" s="1290"/>
      <c r="BH261" s="1290"/>
      <c r="BI261" s="1290"/>
      <c r="BJ261" s="1290"/>
      <c r="BK261" s="1290"/>
      <c r="BL261" s="1290"/>
      <c r="BM261" s="1290"/>
      <c r="BN261" s="1290"/>
      <c r="BO261" s="1290"/>
      <c r="BP261" s="1290"/>
      <c r="BQ261" s="1290"/>
      <c r="BR261" s="1290"/>
      <c r="BS261" s="1290"/>
      <c r="BT261" s="1290"/>
      <c r="BU261" s="1290"/>
      <c r="BV261" s="1290"/>
      <c r="BW261" s="1290"/>
      <c r="BX261" s="1290"/>
      <c r="BY261" s="1290"/>
      <c r="BZ261" s="1290"/>
      <c r="CA261" s="1290"/>
      <c r="CB261" s="1290"/>
      <c r="CC261" s="1290"/>
      <c r="CD261" s="1290"/>
      <c r="CE261" s="1290"/>
      <c r="CF261" s="1290"/>
      <c r="CG261" s="1290"/>
      <c r="CH261" s="1290"/>
      <c r="CI261" s="1290"/>
      <c r="CJ261" s="1290"/>
      <c r="CK261" s="1290"/>
      <c r="CL261" s="1290"/>
      <c r="CM261" s="1290"/>
      <c r="CN261" s="1290"/>
      <c r="CO261" s="1290"/>
      <c r="CP261" s="1290"/>
      <c r="CQ261" s="1290"/>
      <c r="CR261" s="1290"/>
      <c r="CS261" s="1290"/>
      <c r="CT261" s="1290"/>
      <c r="CU261" s="1290"/>
      <c r="CV261" s="1290"/>
      <c r="CW261" s="1290"/>
      <c r="CX261" s="1290"/>
      <c r="CY261" s="1290"/>
      <c r="CZ261" s="1290"/>
      <c r="DA261" s="1290"/>
      <c r="DB261" s="1290"/>
      <c r="DC261" s="1290"/>
      <c r="DD261" s="1290"/>
      <c r="DE261" s="1290"/>
      <c r="DF261" s="1290"/>
      <c r="DG261" s="1290"/>
      <c r="DH261" s="1290"/>
      <c r="DI261" s="1290"/>
      <c r="DJ261" s="1290"/>
      <c r="DK261" s="1290"/>
      <c r="DL261" s="1290"/>
      <c r="DM261" s="1290"/>
      <c r="DN261" s="1290"/>
      <c r="DO261" s="1290"/>
      <c r="DP261" s="1290"/>
      <c r="DQ261" s="1290"/>
      <c r="DR261" s="1290"/>
      <c r="DS261" s="1290"/>
      <c r="DT261" s="1290"/>
      <c r="DU261" s="1290"/>
      <c r="DV261" s="1290"/>
      <c r="DW261" s="1290"/>
      <c r="DX261" s="1290"/>
      <c r="DY261" s="1290"/>
      <c r="DZ261" s="1290"/>
      <c r="EA261" s="1290"/>
      <c r="EB261" s="1290"/>
      <c r="EC261" s="1290"/>
      <c r="ED261" s="1290"/>
      <c r="EE261" s="1290"/>
      <c r="EF261" s="1290"/>
      <c r="EG261" s="1290"/>
      <c r="EH261" s="1290"/>
      <c r="EI261" s="1290"/>
      <c r="EJ261" s="1290"/>
      <c r="EK261" s="1290"/>
      <c r="EL261" s="1290"/>
      <c r="EM261" s="1290"/>
      <c r="EN261" s="1290"/>
      <c r="EO261" s="1290"/>
      <c r="EP261" s="1290"/>
      <c r="EQ261" s="1290"/>
      <c r="ER261" s="1290"/>
      <c r="ES261" s="1290"/>
      <c r="ET261" s="1290"/>
      <c r="EU261" s="1290"/>
      <c r="EV261" s="1290"/>
      <c r="EW261" s="1290"/>
      <c r="EX261" s="1290"/>
      <c r="EY261" s="1290"/>
      <c r="EZ261" s="1290"/>
      <c r="FA261" s="1290"/>
      <c r="FB261" s="1290"/>
      <c r="FC261" s="1290"/>
      <c r="FD261" s="1290"/>
      <c r="FE261" s="1290"/>
      <c r="FF261" s="1290"/>
    </row>
    <row r="263" spans="6:162" s="1292" customFormat="1" ht="15.75" customHeight="1">
      <c r="F263" s="1290"/>
      <c r="G263" s="1290"/>
      <c r="H263" s="1290"/>
      <c r="I263" s="1290"/>
      <c r="J263" s="1290"/>
      <c r="K263" s="1290"/>
      <c r="L263" s="1290"/>
      <c r="M263" s="1290"/>
      <c r="N263" s="1290"/>
      <c r="O263" s="1290"/>
      <c r="P263" s="1290"/>
      <c r="Q263" s="1290"/>
      <c r="R263" s="1290"/>
      <c r="S263" s="1290"/>
      <c r="T263" s="1290"/>
      <c r="U263" s="1290"/>
      <c r="V263" s="1290"/>
      <c r="W263" s="1290"/>
      <c r="X263" s="1290"/>
      <c r="Y263" s="1290"/>
      <c r="AA263" s="1290"/>
      <c r="AC263" s="1290"/>
      <c r="AD263" s="1290"/>
      <c r="AE263" s="1290"/>
      <c r="AF263" s="1290"/>
      <c r="AG263" s="1290"/>
      <c r="AH263" s="1291"/>
      <c r="AI263" s="1291"/>
      <c r="AJ263" s="1290"/>
      <c r="AK263" s="1290"/>
      <c r="AL263" s="1290"/>
      <c r="AM263" s="1290"/>
      <c r="AN263" s="1290"/>
      <c r="AO263" s="1290"/>
      <c r="AP263" s="1290"/>
      <c r="AQ263" s="1290"/>
      <c r="AR263" s="1290"/>
      <c r="AS263" s="1290"/>
      <c r="AT263" s="1290"/>
      <c r="AU263" s="1290"/>
      <c r="AV263" s="1290"/>
      <c r="AW263" s="1290"/>
      <c r="AX263" s="1290"/>
      <c r="AY263" s="1290"/>
      <c r="AZ263" s="1290"/>
      <c r="BA263" s="1290"/>
      <c r="BB263" s="1290"/>
      <c r="BC263" s="1290"/>
      <c r="BD263" s="1290"/>
      <c r="BE263" s="1290"/>
      <c r="BF263" s="1290"/>
      <c r="BG263" s="1290"/>
      <c r="BH263" s="1290"/>
      <c r="BI263" s="1290"/>
      <c r="BJ263" s="1290"/>
      <c r="BK263" s="1290"/>
      <c r="BL263" s="1290"/>
      <c r="BM263" s="1290"/>
      <c r="BN263" s="1290"/>
      <c r="BO263" s="1290"/>
      <c r="BP263" s="1290"/>
      <c r="BQ263" s="1290"/>
      <c r="BR263" s="1290"/>
      <c r="BS263" s="1290"/>
      <c r="BT263" s="1290"/>
      <c r="BU263" s="1290"/>
      <c r="BV263" s="1290"/>
      <c r="BW263" s="1290"/>
      <c r="BX263" s="1290"/>
      <c r="BY263" s="1290"/>
      <c r="BZ263" s="1290"/>
      <c r="CA263" s="1290"/>
      <c r="CB263" s="1290"/>
      <c r="CC263" s="1290"/>
      <c r="CD263" s="1290"/>
      <c r="CE263" s="1290"/>
      <c r="CF263" s="1290"/>
      <c r="CG263" s="1290"/>
      <c r="CH263" s="1290"/>
      <c r="CI263" s="1290"/>
      <c r="CJ263" s="1290"/>
      <c r="CK263" s="1290"/>
      <c r="CL263" s="1290"/>
      <c r="CM263" s="1290"/>
      <c r="CN263" s="1290"/>
      <c r="CO263" s="1290"/>
      <c r="CP263" s="1290"/>
      <c r="CQ263" s="1290"/>
      <c r="CR263" s="1290"/>
      <c r="CS263" s="1290"/>
      <c r="CT263" s="1290"/>
      <c r="CU263" s="1290"/>
      <c r="CV263" s="1290"/>
      <c r="CW263" s="1290"/>
      <c r="CX263" s="1290"/>
      <c r="CY263" s="1290"/>
      <c r="CZ263" s="1290"/>
      <c r="DA263" s="1290"/>
      <c r="DB263" s="1290"/>
      <c r="DC263" s="1290"/>
      <c r="DD263" s="1290"/>
      <c r="DE263" s="1290"/>
      <c r="DF263" s="1290"/>
      <c r="DG263" s="1290"/>
      <c r="DH263" s="1290"/>
      <c r="DI263" s="1290"/>
      <c r="DJ263" s="1290"/>
      <c r="DK263" s="1290"/>
      <c r="DL263" s="1290"/>
      <c r="DM263" s="1290"/>
      <c r="DN263" s="1290"/>
      <c r="DO263" s="1290"/>
      <c r="DP263" s="1290"/>
      <c r="DQ263" s="1290"/>
      <c r="DR263" s="1290"/>
      <c r="DS263" s="1290"/>
      <c r="DT263" s="1290"/>
      <c r="DU263" s="1290"/>
      <c r="DV263" s="1290"/>
      <c r="DW263" s="1290"/>
      <c r="DX263" s="1290"/>
      <c r="DY263" s="1290"/>
      <c r="DZ263" s="1290"/>
      <c r="EA263" s="1290"/>
      <c r="EB263" s="1290"/>
      <c r="EC263" s="1290"/>
      <c r="ED263" s="1290"/>
      <c r="EE263" s="1290"/>
      <c r="EF263" s="1290"/>
      <c r="EG263" s="1290"/>
      <c r="EH263" s="1290"/>
      <c r="EI263" s="1290"/>
      <c r="EJ263" s="1290"/>
      <c r="EK263" s="1290"/>
      <c r="EL263" s="1290"/>
      <c r="EM263" s="1290"/>
      <c r="EN263" s="1290"/>
      <c r="EO263" s="1290"/>
      <c r="EP263" s="1290"/>
      <c r="EQ263" s="1290"/>
      <c r="ER263" s="1290"/>
      <c r="ES263" s="1290"/>
      <c r="ET263" s="1290"/>
      <c r="EU263" s="1290"/>
      <c r="EV263" s="1290"/>
      <c r="EW263" s="1290"/>
      <c r="EX263" s="1290"/>
      <c r="EY263" s="1290"/>
      <c r="EZ263" s="1290"/>
      <c r="FA263" s="1290"/>
      <c r="FB263" s="1290"/>
      <c r="FC263" s="1290"/>
      <c r="FD263" s="1290"/>
      <c r="FE263" s="1290"/>
      <c r="FF263" s="1290"/>
    </row>
    <row r="265" spans="6:162" s="1292" customFormat="1" ht="15.75" customHeight="1">
      <c r="F265" s="1290"/>
      <c r="G265" s="1290"/>
      <c r="H265" s="1290"/>
      <c r="I265" s="1290"/>
      <c r="J265" s="1290"/>
      <c r="K265" s="1290"/>
      <c r="L265" s="1290"/>
      <c r="M265" s="1290"/>
      <c r="N265" s="1290"/>
      <c r="O265" s="1290"/>
      <c r="P265" s="1290"/>
      <c r="Q265" s="1290"/>
      <c r="R265" s="1290"/>
      <c r="S265" s="1290"/>
      <c r="T265" s="1290"/>
      <c r="U265" s="1290"/>
      <c r="V265" s="1290"/>
      <c r="W265" s="1290"/>
      <c r="X265" s="1290"/>
      <c r="Y265" s="1290"/>
      <c r="AA265" s="1290"/>
      <c r="AC265" s="1290"/>
      <c r="AD265" s="1290"/>
      <c r="AE265" s="1290"/>
      <c r="AF265" s="1290"/>
      <c r="AG265" s="1290"/>
      <c r="AH265" s="1291"/>
      <c r="AI265" s="1291"/>
      <c r="AJ265" s="1290"/>
      <c r="AK265" s="1290"/>
      <c r="AL265" s="1290"/>
      <c r="AM265" s="1290"/>
      <c r="AN265" s="1290"/>
      <c r="AO265" s="1290"/>
      <c r="AP265" s="1290"/>
      <c r="AQ265" s="1290"/>
      <c r="AR265" s="1290"/>
      <c r="AS265" s="1290"/>
      <c r="AT265" s="1290"/>
      <c r="AU265" s="1290"/>
      <c r="AV265" s="1290"/>
      <c r="AW265" s="1290"/>
      <c r="AX265" s="1290"/>
      <c r="AY265" s="1290"/>
      <c r="AZ265" s="1290"/>
      <c r="BA265" s="1290"/>
      <c r="BB265" s="1290"/>
      <c r="BC265" s="1290"/>
      <c r="BD265" s="1290"/>
      <c r="BE265" s="1290"/>
      <c r="BF265" s="1290"/>
      <c r="BG265" s="1290"/>
      <c r="BH265" s="1290"/>
      <c r="BI265" s="1290"/>
      <c r="BJ265" s="1290"/>
      <c r="BK265" s="1290"/>
      <c r="BL265" s="1290"/>
      <c r="BM265" s="1290"/>
      <c r="BN265" s="1290"/>
      <c r="BO265" s="1290"/>
      <c r="BP265" s="1290"/>
      <c r="BQ265" s="1290"/>
      <c r="BR265" s="1290"/>
      <c r="BS265" s="1290"/>
      <c r="BT265" s="1290"/>
      <c r="BU265" s="1290"/>
      <c r="BV265" s="1290"/>
      <c r="BW265" s="1290"/>
      <c r="BX265" s="1290"/>
      <c r="BY265" s="1290"/>
      <c r="BZ265" s="1290"/>
      <c r="CA265" s="1290"/>
      <c r="CB265" s="1290"/>
      <c r="CC265" s="1290"/>
      <c r="CD265" s="1290"/>
      <c r="CE265" s="1290"/>
      <c r="CF265" s="1290"/>
      <c r="CG265" s="1290"/>
      <c r="CH265" s="1290"/>
      <c r="CI265" s="1290"/>
      <c r="CJ265" s="1290"/>
      <c r="CK265" s="1290"/>
      <c r="CL265" s="1290"/>
      <c r="CM265" s="1290"/>
      <c r="CN265" s="1290"/>
      <c r="CO265" s="1290"/>
      <c r="CP265" s="1290"/>
      <c r="CQ265" s="1290"/>
      <c r="CR265" s="1290"/>
      <c r="CS265" s="1290"/>
      <c r="CT265" s="1290"/>
      <c r="CU265" s="1290"/>
      <c r="CV265" s="1290"/>
      <c r="CW265" s="1290"/>
      <c r="CX265" s="1290"/>
      <c r="CY265" s="1290"/>
      <c r="CZ265" s="1290"/>
      <c r="DA265" s="1290"/>
      <c r="DB265" s="1290"/>
      <c r="DC265" s="1290"/>
      <c r="DD265" s="1290"/>
      <c r="DE265" s="1290"/>
      <c r="DF265" s="1290"/>
      <c r="DG265" s="1290"/>
      <c r="DH265" s="1290"/>
      <c r="DI265" s="1290"/>
      <c r="DJ265" s="1290"/>
      <c r="DK265" s="1290"/>
      <c r="DL265" s="1290"/>
      <c r="DM265" s="1290"/>
      <c r="DN265" s="1290"/>
      <c r="DO265" s="1290"/>
      <c r="DP265" s="1290"/>
      <c r="DQ265" s="1290"/>
      <c r="DR265" s="1290"/>
      <c r="DS265" s="1290"/>
      <c r="DT265" s="1290"/>
      <c r="DU265" s="1290"/>
      <c r="DV265" s="1290"/>
      <c r="DW265" s="1290"/>
      <c r="DX265" s="1290"/>
      <c r="DY265" s="1290"/>
      <c r="DZ265" s="1290"/>
      <c r="EA265" s="1290"/>
      <c r="EB265" s="1290"/>
      <c r="EC265" s="1290"/>
      <c r="ED265" s="1290"/>
      <c r="EE265" s="1290"/>
      <c r="EF265" s="1290"/>
      <c r="EG265" s="1290"/>
      <c r="EH265" s="1290"/>
      <c r="EI265" s="1290"/>
      <c r="EJ265" s="1290"/>
      <c r="EK265" s="1290"/>
      <c r="EL265" s="1290"/>
      <c r="EM265" s="1290"/>
      <c r="EN265" s="1290"/>
      <c r="EO265" s="1290"/>
      <c r="EP265" s="1290"/>
      <c r="EQ265" s="1290"/>
      <c r="ER265" s="1290"/>
      <c r="ES265" s="1290"/>
      <c r="ET265" s="1290"/>
      <c r="EU265" s="1290"/>
      <c r="EV265" s="1290"/>
      <c r="EW265" s="1290"/>
      <c r="EX265" s="1290"/>
      <c r="EY265" s="1290"/>
      <c r="EZ265" s="1290"/>
      <c r="FA265" s="1290"/>
      <c r="FB265" s="1290"/>
      <c r="FC265" s="1290"/>
      <c r="FD265" s="1290"/>
      <c r="FE265" s="1290"/>
      <c r="FF265" s="1290"/>
    </row>
    <row r="267" spans="6:162" s="1292" customFormat="1" ht="15.75" customHeight="1">
      <c r="F267" s="1290"/>
      <c r="G267" s="1290"/>
      <c r="H267" s="1290"/>
      <c r="I267" s="1290"/>
      <c r="J267" s="1290"/>
      <c r="K267" s="1290"/>
      <c r="L267" s="1290"/>
      <c r="M267" s="1290"/>
      <c r="N267" s="1290"/>
      <c r="O267" s="1290"/>
      <c r="P267" s="1290"/>
      <c r="Q267" s="1290"/>
      <c r="R267" s="1290"/>
      <c r="S267" s="1290"/>
      <c r="T267" s="1290"/>
      <c r="U267" s="1290"/>
      <c r="V267" s="1290"/>
      <c r="W267" s="1290"/>
      <c r="X267" s="1290"/>
      <c r="Y267" s="1290"/>
      <c r="AA267" s="1290"/>
      <c r="AC267" s="1290"/>
      <c r="AD267" s="1290"/>
      <c r="AE267" s="1290"/>
      <c r="AF267" s="1290"/>
      <c r="AG267" s="1290"/>
      <c r="AH267" s="1291"/>
      <c r="AI267" s="1291"/>
      <c r="AJ267" s="1290"/>
      <c r="AK267" s="1290"/>
      <c r="AL267" s="1290"/>
      <c r="AM267" s="1290"/>
      <c r="AN267" s="1290"/>
      <c r="AO267" s="1290"/>
      <c r="AP267" s="1290"/>
      <c r="AQ267" s="1290"/>
      <c r="AR267" s="1290"/>
      <c r="AS267" s="1290"/>
      <c r="AT267" s="1290"/>
      <c r="AU267" s="1290"/>
      <c r="AV267" s="1290"/>
      <c r="AW267" s="1290"/>
      <c r="AX267" s="1290"/>
      <c r="AY267" s="1290"/>
      <c r="AZ267" s="1290"/>
      <c r="BA267" s="1290"/>
      <c r="BB267" s="1290"/>
      <c r="BC267" s="1290"/>
      <c r="BD267" s="1290"/>
      <c r="BE267" s="1290"/>
      <c r="BF267" s="1290"/>
      <c r="BG267" s="1290"/>
      <c r="BH267" s="1290"/>
      <c r="BI267" s="1290"/>
      <c r="BJ267" s="1290"/>
      <c r="BK267" s="1290"/>
      <c r="BL267" s="1290"/>
      <c r="BM267" s="1290"/>
      <c r="BN267" s="1290"/>
      <c r="BO267" s="1290"/>
      <c r="BP267" s="1290"/>
      <c r="BQ267" s="1290"/>
      <c r="BR267" s="1290"/>
      <c r="BS267" s="1290"/>
      <c r="BT267" s="1290"/>
      <c r="BU267" s="1290"/>
      <c r="BV267" s="1290"/>
      <c r="BW267" s="1290"/>
      <c r="BX267" s="1290"/>
      <c r="BY267" s="1290"/>
      <c r="BZ267" s="1290"/>
      <c r="CA267" s="1290"/>
      <c r="CB267" s="1290"/>
      <c r="CC267" s="1290"/>
      <c r="CD267" s="1290"/>
      <c r="CE267" s="1290"/>
      <c r="CF267" s="1290"/>
      <c r="CG267" s="1290"/>
      <c r="CH267" s="1290"/>
      <c r="CI267" s="1290"/>
      <c r="CJ267" s="1290"/>
      <c r="CK267" s="1290"/>
      <c r="CL267" s="1290"/>
      <c r="CM267" s="1290"/>
      <c r="CN267" s="1290"/>
      <c r="CO267" s="1290"/>
      <c r="CP267" s="1290"/>
      <c r="CQ267" s="1290"/>
      <c r="CR267" s="1290"/>
      <c r="CS267" s="1290"/>
      <c r="CT267" s="1290"/>
      <c r="CU267" s="1290"/>
      <c r="CV267" s="1290"/>
      <c r="CW267" s="1290"/>
      <c r="CX267" s="1290"/>
      <c r="CY267" s="1290"/>
      <c r="CZ267" s="1290"/>
      <c r="DA267" s="1290"/>
      <c r="DB267" s="1290"/>
      <c r="DC267" s="1290"/>
      <c r="DD267" s="1290"/>
      <c r="DE267" s="1290"/>
      <c r="DF267" s="1290"/>
      <c r="DG267" s="1290"/>
      <c r="DH267" s="1290"/>
      <c r="DI267" s="1290"/>
      <c r="DJ267" s="1290"/>
      <c r="DK267" s="1290"/>
      <c r="DL267" s="1290"/>
      <c r="DM267" s="1290"/>
      <c r="DN267" s="1290"/>
      <c r="DO267" s="1290"/>
      <c r="DP267" s="1290"/>
      <c r="DQ267" s="1290"/>
      <c r="DR267" s="1290"/>
      <c r="DS267" s="1290"/>
      <c r="DT267" s="1290"/>
      <c r="DU267" s="1290"/>
      <c r="DV267" s="1290"/>
      <c r="DW267" s="1290"/>
      <c r="DX267" s="1290"/>
      <c r="DY267" s="1290"/>
      <c r="DZ267" s="1290"/>
      <c r="EA267" s="1290"/>
      <c r="EB267" s="1290"/>
      <c r="EC267" s="1290"/>
      <c r="ED267" s="1290"/>
      <c r="EE267" s="1290"/>
      <c r="EF267" s="1290"/>
      <c r="EG267" s="1290"/>
      <c r="EH267" s="1290"/>
      <c r="EI267" s="1290"/>
      <c r="EJ267" s="1290"/>
      <c r="EK267" s="1290"/>
      <c r="EL267" s="1290"/>
      <c r="EM267" s="1290"/>
      <c r="EN267" s="1290"/>
      <c r="EO267" s="1290"/>
      <c r="EP267" s="1290"/>
      <c r="EQ267" s="1290"/>
      <c r="ER267" s="1290"/>
      <c r="ES267" s="1290"/>
      <c r="ET267" s="1290"/>
      <c r="EU267" s="1290"/>
      <c r="EV267" s="1290"/>
      <c r="EW267" s="1290"/>
      <c r="EX267" s="1290"/>
      <c r="EY267" s="1290"/>
      <c r="EZ267" s="1290"/>
      <c r="FA267" s="1290"/>
      <c r="FB267" s="1290"/>
      <c r="FC267" s="1290"/>
      <c r="FD267" s="1290"/>
      <c r="FE267" s="1290"/>
      <c r="FF267" s="1290"/>
    </row>
    <row r="269" spans="6:162" s="1292" customFormat="1" ht="15.75" customHeight="1">
      <c r="F269" s="1290"/>
      <c r="G269" s="1290"/>
      <c r="H269" s="1290"/>
      <c r="I269" s="1290"/>
      <c r="J269" s="1290"/>
      <c r="K269" s="1290"/>
      <c r="L269" s="1290"/>
      <c r="M269" s="1290"/>
      <c r="N269" s="1290"/>
      <c r="O269" s="1290"/>
      <c r="P269" s="1290"/>
      <c r="Q269" s="1290"/>
      <c r="R269" s="1290"/>
      <c r="S269" s="1290"/>
      <c r="T269" s="1290"/>
      <c r="U269" s="1290"/>
      <c r="V269" s="1290"/>
      <c r="W269" s="1290"/>
      <c r="X269" s="1290"/>
      <c r="Y269" s="1290"/>
      <c r="AA269" s="1290"/>
      <c r="AC269" s="1290"/>
      <c r="AD269" s="1290"/>
      <c r="AE269" s="1290"/>
      <c r="AF269" s="1290"/>
      <c r="AG269" s="1290"/>
      <c r="AH269" s="1291"/>
      <c r="AI269" s="1291"/>
      <c r="AJ269" s="1290"/>
      <c r="AK269" s="1290"/>
      <c r="AL269" s="1290"/>
      <c r="AM269" s="1290"/>
      <c r="AN269" s="1290"/>
      <c r="AO269" s="1290"/>
      <c r="AP269" s="1290"/>
      <c r="AQ269" s="1290"/>
      <c r="AR269" s="1290"/>
      <c r="AS269" s="1290"/>
      <c r="AT269" s="1290"/>
      <c r="AU269" s="1290"/>
      <c r="AV269" s="1290"/>
      <c r="AW269" s="1290"/>
      <c r="AX269" s="1290"/>
      <c r="AY269" s="1290"/>
      <c r="AZ269" s="1290"/>
      <c r="BA269" s="1290"/>
      <c r="BB269" s="1290"/>
      <c r="BC269" s="1290"/>
      <c r="BD269" s="1290"/>
      <c r="BE269" s="1290"/>
      <c r="BF269" s="1290"/>
      <c r="BG269" s="1290"/>
      <c r="BH269" s="1290"/>
      <c r="BI269" s="1290"/>
      <c r="BJ269" s="1290"/>
      <c r="BK269" s="1290"/>
      <c r="BL269" s="1290"/>
      <c r="BM269" s="1290"/>
      <c r="BN269" s="1290"/>
      <c r="BO269" s="1290"/>
      <c r="BP269" s="1290"/>
      <c r="BQ269" s="1290"/>
      <c r="BR269" s="1290"/>
      <c r="BS269" s="1290"/>
      <c r="BT269" s="1290"/>
      <c r="BU269" s="1290"/>
      <c r="BV269" s="1290"/>
      <c r="BW269" s="1290"/>
      <c r="BX269" s="1290"/>
      <c r="BY269" s="1290"/>
      <c r="BZ269" s="1290"/>
      <c r="CA269" s="1290"/>
      <c r="CB269" s="1290"/>
      <c r="CC269" s="1290"/>
      <c r="CD269" s="1290"/>
      <c r="CE269" s="1290"/>
      <c r="CF269" s="1290"/>
      <c r="CG269" s="1290"/>
      <c r="CH269" s="1290"/>
      <c r="CI269" s="1290"/>
      <c r="CJ269" s="1290"/>
      <c r="CK269" s="1290"/>
      <c r="CL269" s="1290"/>
      <c r="CM269" s="1290"/>
      <c r="CN269" s="1290"/>
      <c r="CO269" s="1290"/>
      <c r="CP269" s="1290"/>
      <c r="CQ269" s="1290"/>
      <c r="CR269" s="1290"/>
      <c r="CS269" s="1290"/>
      <c r="CT269" s="1290"/>
      <c r="CU269" s="1290"/>
      <c r="CV269" s="1290"/>
      <c r="CW269" s="1290"/>
      <c r="CX269" s="1290"/>
      <c r="CY269" s="1290"/>
      <c r="CZ269" s="1290"/>
      <c r="DA269" s="1290"/>
      <c r="DB269" s="1290"/>
      <c r="DC269" s="1290"/>
      <c r="DD269" s="1290"/>
      <c r="DE269" s="1290"/>
      <c r="DF269" s="1290"/>
      <c r="DG269" s="1290"/>
      <c r="DH269" s="1290"/>
      <c r="DI269" s="1290"/>
      <c r="DJ269" s="1290"/>
      <c r="DK269" s="1290"/>
      <c r="DL269" s="1290"/>
      <c r="DM269" s="1290"/>
      <c r="DN269" s="1290"/>
      <c r="DO269" s="1290"/>
      <c r="DP269" s="1290"/>
      <c r="DQ269" s="1290"/>
      <c r="DR269" s="1290"/>
      <c r="DS269" s="1290"/>
      <c r="DT269" s="1290"/>
      <c r="DU269" s="1290"/>
      <c r="DV269" s="1290"/>
      <c r="DW269" s="1290"/>
      <c r="DX269" s="1290"/>
      <c r="DY269" s="1290"/>
      <c r="DZ269" s="1290"/>
      <c r="EA269" s="1290"/>
      <c r="EB269" s="1290"/>
      <c r="EC269" s="1290"/>
      <c r="ED269" s="1290"/>
      <c r="EE269" s="1290"/>
      <c r="EF269" s="1290"/>
      <c r="EG269" s="1290"/>
      <c r="EH269" s="1290"/>
      <c r="EI269" s="1290"/>
      <c r="EJ269" s="1290"/>
      <c r="EK269" s="1290"/>
      <c r="EL269" s="1290"/>
      <c r="EM269" s="1290"/>
      <c r="EN269" s="1290"/>
      <c r="EO269" s="1290"/>
      <c r="EP269" s="1290"/>
      <c r="EQ269" s="1290"/>
      <c r="ER269" s="1290"/>
      <c r="ES269" s="1290"/>
      <c r="ET269" s="1290"/>
      <c r="EU269" s="1290"/>
      <c r="EV269" s="1290"/>
      <c r="EW269" s="1290"/>
      <c r="EX269" s="1290"/>
      <c r="EY269" s="1290"/>
      <c r="EZ269" s="1290"/>
      <c r="FA269" s="1290"/>
      <c r="FB269" s="1290"/>
      <c r="FC269" s="1290"/>
      <c r="FD269" s="1290"/>
      <c r="FE269" s="1290"/>
      <c r="FF269" s="1290"/>
    </row>
    <row r="271" spans="6:162" s="1292" customFormat="1" ht="15.75" customHeight="1">
      <c r="F271" s="1290"/>
      <c r="G271" s="1290"/>
      <c r="H271" s="1290"/>
      <c r="I271" s="1290"/>
      <c r="J271" s="1290"/>
      <c r="K271" s="1290"/>
      <c r="L271" s="1290"/>
      <c r="M271" s="1290"/>
      <c r="N271" s="1290"/>
      <c r="O271" s="1290"/>
      <c r="P271" s="1290"/>
      <c r="Q271" s="1290"/>
      <c r="R271" s="1290"/>
      <c r="S271" s="1290"/>
      <c r="T271" s="1290"/>
      <c r="U271" s="1290"/>
      <c r="V271" s="1290"/>
      <c r="W271" s="1290"/>
      <c r="X271" s="1290"/>
      <c r="Y271" s="1290"/>
      <c r="AA271" s="1290"/>
      <c r="AC271" s="1290"/>
      <c r="AD271" s="1290"/>
      <c r="AE271" s="1290"/>
      <c r="AF271" s="1290"/>
      <c r="AG271" s="1290"/>
      <c r="AH271" s="1291"/>
      <c r="AI271" s="1291"/>
      <c r="AJ271" s="1290"/>
      <c r="AK271" s="1290"/>
      <c r="AL271" s="1290"/>
      <c r="AM271" s="1290"/>
      <c r="AN271" s="1290"/>
      <c r="AO271" s="1290"/>
      <c r="AP271" s="1290"/>
      <c r="AQ271" s="1290"/>
      <c r="AR271" s="1290"/>
      <c r="AS271" s="1290"/>
      <c r="AT271" s="1290"/>
      <c r="AU271" s="1290"/>
      <c r="AV271" s="1290"/>
      <c r="AW271" s="1290"/>
      <c r="AX271" s="1290"/>
      <c r="AY271" s="1290"/>
      <c r="AZ271" s="1290"/>
      <c r="BA271" s="1290"/>
      <c r="BB271" s="1290"/>
      <c r="BC271" s="1290"/>
      <c r="BD271" s="1290"/>
      <c r="BE271" s="1290"/>
      <c r="BF271" s="1290"/>
      <c r="BG271" s="1290"/>
      <c r="BH271" s="1290"/>
      <c r="BI271" s="1290"/>
      <c r="BJ271" s="1290"/>
      <c r="BK271" s="1290"/>
      <c r="BL271" s="1290"/>
      <c r="BM271" s="1290"/>
      <c r="BN271" s="1290"/>
      <c r="BO271" s="1290"/>
      <c r="BP271" s="1290"/>
      <c r="BQ271" s="1290"/>
      <c r="BR271" s="1290"/>
      <c r="BS271" s="1290"/>
      <c r="BT271" s="1290"/>
      <c r="BU271" s="1290"/>
      <c r="BV271" s="1290"/>
      <c r="BW271" s="1290"/>
      <c r="BX271" s="1290"/>
      <c r="BY271" s="1290"/>
      <c r="BZ271" s="1290"/>
      <c r="CA271" s="1290"/>
      <c r="CB271" s="1290"/>
      <c r="CC271" s="1290"/>
      <c r="CD271" s="1290"/>
      <c r="CE271" s="1290"/>
      <c r="CF271" s="1290"/>
      <c r="CG271" s="1290"/>
      <c r="CH271" s="1290"/>
      <c r="CI271" s="1290"/>
      <c r="CJ271" s="1290"/>
      <c r="CK271" s="1290"/>
      <c r="CL271" s="1290"/>
      <c r="CM271" s="1290"/>
      <c r="CN271" s="1290"/>
      <c r="CO271" s="1290"/>
      <c r="CP271" s="1290"/>
      <c r="CQ271" s="1290"/>
      <c r="CR271" s="1290"/>
      <c r="CS271" s="1290"/>
      <c r="CT271" s="1290"/>
      <c r="CU271" s="1290"/>
      <c r="CV271" s="1290"/>
      <c r="CW271" s="1290"/>
      <c r="CX271" s="1290"/>
      <c r="CY271" s="1290"/>
      <c r="CZ271" s="1290"/>
      <c r="DA271" s="1290"/>
      <c r="DB271" s="1290"/>
      <c r="DC271" s="1290"/>
      <c r="DD271" s="1290"/>
      <c r="DE271" s="1290"/>
      <c r="DF271" s="1290"/>
      <c r="DG271" s="1290"/>
      <c r="DH271" s="1290"/>
      <c r="DI271" s="1290"/>
      <c r="DJ271" s="1290"/>
      <c r="DK271" s="1290"/>
      <c r="DL271" s="1290"/>
      <c r="DM271" s="1290"/>
      <c r="DN271" s="1290"/>
      <c r="DO271" s="1290"/>
      <c r="DP271" s="1290"/>
      <c r="DQ271" s="1290"/>
      <c r="DR271" s="1290"/>
      <c r="DS271" s="1290"/>
      <c r="DT271" s="1290"/>
      <c r="DU271" s="1290"/>
      <c r="DV271" s="1290"/>
      <c r="DW271" s="1290"/>
      <c r="DX271" s="1290"/>
      <c r="DY271" s="1290"/>
      <c r="DZ271" s="1290"/>
      <c r="EA271" s="1290"/>
      <c r="EB271" s="1290"/>
      <c r="EC271" s="1290"/>
      <c r="ED271" s="1290"/>
      <c r="EE271" s="1290"/>
      <c r="EF271" s="1290"/>
      <c r="EG271" s="1290"/>
      <c r="EH271" s="1290"/>
      <c r="EI271" s="1290"/>
      <c r="EJ271" s="1290"/>
      <c r="EK271" s="1290"/>
      <c r="EL271" s="1290"/>
      <c r="EM271" s="1290"/>
      <c r="EN271" s="1290"/>
      <c r="EO271" s="1290"/>
      <c r="EP271" s="1290"/>
      <c r="EQ271" s="1290"/>
      <c r="ER271" s="1290"/>
      <c r="ES271" s="1290"/>
      <c r="ET271" s="1290"/>
      <c r="EU271" s="1290"/>
      <c r="EV271" s="1290"/>
      <c r="EW271" s="1290"/>
      <c r="EX271" s="1290"/>
      <c r="EY271" s="1290"/>
      <c r="EZ271" s="1290"/>
      <c r="FA271" s="1290"/>
      <c r="FB271" s="1290"/>
      <c r="FC271" s="1290"/>
      <c r="FD271" s="1290"/>
      <c r="FE271" s="1290"/>
      <c r="FF271" s="1290"/>
    </row>
    <row r="273" spans="6:162" s="1292" customFormat="1" ht="15.75" customHeight="1">
      <c r="F273" s="1290"/>
      <c r="G273" s="1290"/>
      <c r="H273" s="1290"/>
      <c r="I273" s="1290"/>
      <c r="J273" s="1290"/>
      <c r="K273" s="1290"/>
      <c r="L273" s="1290"/>
      <c r="M273" s="1290"/>
      <c r="N273" s="1290"/>
      <c r="O273" s="1290"/>
      <c r="P273" s="1290"/>
      <c r="Q273" s="1290"/>
      <c r="R273" s="1290"/>
      <c r="S273" s="1290"/>
      <c r="T273" s="1290"/>
      <c r="U273" s="1290"/>
      <c r="V273" s="1290"/>
      <c r="W273" s="1290"/>
      <c r="X273" s="1290"/>
      <c r="Y273" s="1290"/>
      <c r="AA273" s="1290"/>
      <c r="AC273" s="1290"/>
      <c r="AD273" s="1290"/>
      <c r="AE273" s="1290"/>
      <c r="AF273" s="1290"/>
      <c r="AG273" s="1290"/>
      <c r="AH273" s="1291"/>
      <c r="AI273" s="1291"/>
      <c r="AJ273" s="1290"/>
      <c r="AK273" s="1290"/>
      <c r="AL273" s="1290"/>
      <c r="AM273" s="1290"/>
      <c r="AN273" s="1290"/>
      <c r="AO273" s="1290"/>
      <c r="AP273" s="1290"/>
      <c r="AQ273" s="1290"/>
      <c r="AR273" s="1290"/>
      <c r="AS273" s="1290"/>
      <c r="AT273" s="1290"/>
      <c r="AU273" s="1290"/>
      <c r="AV273" s="1290"/>
      <c r="AW273" s="1290"/>
      <c r="AX273" s="1290"/>
      <c r="AY273" s="1290"/>
      <c r="AZ273" s="1290"/>
      <c r="BA273" s="1290"/>
      <c r="BB273" s="1290"/>
      <c r="BC273" s="1290"/>
      <c r="BD273" s="1290"/>
      <c r="BE273" s="1290"/>
      <c r="BF273" s="1290"/>
      <c r="BG273" s="1290"/>
      <c r="BH273" s="1290"/>
      <c r="BI273" s="1290"/>
      <c r="BJ273" s="1290"/>
      <c r="BK273" s="1290"/>
      <c r="BL273" s="1290"/>
      <c r="BM273" s="1290"/>
      <c r="BN273" s="1290"/>
      <c r="BO273" s="1290"/>
      <c r="BP273" s="1290"/>
      <c r="BQ273" s="1290"/>
      <c r="BR273" s="1290"/>
      <c r="BS273" s="1290"/>
      <c r="BT273" s="1290"/>
      <c r="BU273" s="1290"/>
      <c r="BV273" s="1290"/>
      <c r="BW273" s="1290"/>
      <c r="BX273" s="1290"/>
      <c r="BY273" s="1290"/>
      <c r="BZ273" s="1290"/>
      <c r="CA273" s="1290"/>
      <c r="CB273" s="1290"/>
      <c r="CC273" s="1290"/>
      <c r="CD273" s="1290"/>
      <c r="CE273" s="1290"/>
      <c r="CF273" s="1290"/>
      <c r="CG273" s="1290"/>
      <c r="CH273" s="1290"/>
      <c r="CI273" s="1290"/>
      <c r="CJ273" s="1290"/>
      <c r="CK273" s="1290"/>
      <c r="CL273" s="1290"/>
      <c r="CM273" s="1290"/>
      <c r="CN273" s="1290"/>
      <c r="CO273" s="1290"/>
      <c r="CP273" s="1290"/>
      <c r="CQ273" s="1290"/>
      <c r="CR273" s="1290"/>
      <c r="CS273" s="1290"/>
      <c r="CT273" s="1290"/>
      <c r="CU273" s="1290"/>
      <c r="CV273" s="1290"/>
      <c r="CW273" s="1290"/>
      <c r="CX273" s="1290"/>
      <c r="CY273" s="1290"/>
      <c r="CZ273" s="1290"/>
      <c r="DA273" s="1290"/>
      <c r="DB273" s="1290"/>
      <c r="DC273" s="1290"/>
      <c r="DD273" s="1290"/>
      <c r="DE273" s="1290"/>
      <c r="DF273" s="1290"/>
      <c r="DG273" s="1290"/>
      <c r="DH273" s="1290"/>
      <c r="DI273" s="1290"/>
      <c r="DJ273" s="1290"/>
      <c r="DK273" s="1290"/>
      <c r="DL273" s="1290"/>
      <c r="DM273" s="1290"/>
      <c r="DN273" s="1290"/>
      <c r="DO273" s="1290"/>
      <c r="DP273" s="1290"/>
      <c r="DQ273" s="1290"/>
      <c r="DR273" s="1290"/>
      <c r="DS273" s="1290"/>
      <c r="DT273" s="1290"/>
      <c r="DU273" s="1290"/>
      <c r="DV273" s="1290"/>
      <c r="DW273" s="1290"/>
      <c r="DX273" s="1290"/>
      <c r="DY273" s="1290"/>
      <c r="DZ273" s="1290"/>
      <c r="EA273" s="1290"/>
      <c r="EB273" s="1290"/>
      <c r="EC273" s="1290"/>
      <c r="ED273" s="1290"/>
      <c r="EE273" s="1290"/>
      <c r="EF273" s="1290"/>
      <c r="EG273" s="1290"/>
      <c r="EH273" s="1290"/>
      <c r="EI273" s="1290"/>
      <c r="EJ273" s="1290"/>
      <c r="EK273" s="1290"/>
      <c r="EL273" s="1290"/>
      <c r="EM273" s="1290"/>
      <c r="EN273" s="1290"/>
      <c r="EO273" s="1290"/>
      <c r="EP273" s="1290"/>
      <c r="EQ273" s="1290"/>
      <c r="ER273" s="1290"/>
      <c r="ES273" s="1290"/>
      <c r="ET273" s="1290"/>
      <c r="EU273" s="1290"/>
      <c r="EV273" s="1290"/>
      <c r="EW273" s="1290"/>
      <c r="EX273" s="1290"/>
      <c r="EY273" s="1290"/>
      <c r="EZ273" s="1290"/>
      <c r="FA273" s="1290"/>
      <c r="FB273" s="1290"/>
      <c r="FC273" s="1290"/>
      <c r="FD273" s="1290"/>
      <c r="FE273" s="1290"/>
      <c r="FF273" s="1290"/>
    </row>
    <row r="275" spans="6:162" s="1292" customFormat="1" ht="15.75" customHeight="1">
      <c r="F275" s="1290"/>
      <c r="G275" s="1290"/>
      <c r="H275" s="1290"/>
      <c r="I275" s="1290"/>
      <c r="J275" s="1290"/>
      <c r="K275" s="1290"/>
      <c r="L275" s="1290"/>
      <c r="M275" s="1290"/>
      <c r="N275" s="1290"/>
      <c r="O275" s="1290"/>
      <c r="P275" s="1290"/>
      <c r="Q275" s="1290"/>
      <c r="R275" s="1290"/>
      <c r="S275" s="1290"/>
      <c r="T275" s="1290"/>
      <c r="U275" s="1290"/>
      <c r="V275" s="1290"/>
      <c r="W275" s="1290"/>
      <c r="X275" s="1290"/>
      <c r="Y275" s="1290"/>
      <c r="AA275" s="1290"/>
      <c r="AC275" s="1290"/>
      <c r="AD275" s="1290"/>
      <c r="AE275" s="1290"/>
      <c r="AF275" s="1290"/>
      <c r="AG275" s="1290"/>
      <c r="AH275" s="1291"/>
      <c r="AI275" s="1291"/>
      <c r="AJ275" s="1290"/>
      <c r="AK275" s="1290"/>
      <c r="AL275" s="1290"/>
      <c r="AM275" s="1290"/>
      <c r="AN275" s="1290"/>
      <c r="AO275" s="1290"/>
      <c r="AP275" s="1290"/>
      <c r="AQ275" s="1290"/>
      <c r="AR275" s="1290"/>
      <c r="AS275" s="1290"/>
      <c r="AT275" s="1290"/>
      <c r="AU275" s="1290"/>
      <c r="AV275" s="1290"/>
      <c r="AW275" s="1290"/>
      <c r="AX275" s="1290"/>
      <c r="AY275" s="1290"/>
      <c r="AZ275" s="1290"/>
      <c r="BA275" s="1290"/>
      <c r="BB275" s="1290"/>
      <c r="BC275" s="1290"/>
      <c r="BD275" s="1290"/>
      <c r="BE275" s="1290"/>
      <c r="BF275" s="1290"/>
      <c r="BG275" s="1290"/>
      <c r="BH275" s="1290"/>
      <c r="BI275" s="1290"/>
      <c r="BJ275" s="1290"/>
      <c r="BK275" s="1290"/>
      <c r="BL275" s="1290"/>
      <c r="BM275" s="1290"/>
      <c r="BN275" s="1290"/>
      <c r="BO275" s="1290"/>
      <c r="BP275" s="1290"/>
      <c r="BQ275" s="1290"/>
      <c r="BR275" s="1290"/>
      <c r="BS275" s="1290"/>
      <c r="BT275" s="1290"/>
      <c r="BU275" s="1290"/>
      <c r="BV275" s="1290"/>
      <c r="BW275" s="1290"/>
      <c r="BX275" s="1290"/>
      <c r="BY275" s="1290"/>
      <c r="BZ275" s="1290"/>
      <c r="CA275" s="1290"/>
      <c r="CB275" s="1290"/>
      <c r="CC275" s="1290"/>
      <c r="CD275" s="1290"/>
      <c r="CE275" s="1290"/>
      <c r="CF275" s="1290"/>
      <c r="CG275" s="1290"/>
      <c r="CH275" s="1290"/>
      <c r="CI275" s="1290"/>
      <c r="CJ275" s="1290"/>
      <c r="CK275" s="1290"/>
      <c r="CL275" s="1290"/>
      <c r="CM275" s="1290"/>
      <c r="CN275" s="1290"/>
      <c r="CO275" s="1290"/>
      <c r="CP275" s="1290"/>
      <c r="CQ275" s="1290"/>
      <c r="CR275" s="1290"/>
      <c r="CS275" s="1290"/>
      <c r="CT275" s="1290"/>
      <c r="CU275" s="1290"/>
      <c r="CV275" s="1290"/>
      <c r="CW275" s="1290"/>
      <c r="CX275" s="1290"/>
      <c r="CY275" s="1290"/>
      <c r="CZ275" s="1290"/>
      <c r="DA275" s="1290"/>
      <c r="DB275" s="1290"/>
      <c r="DC275" s="1290"/>
      <c r="DD275" s="1290"/>
      <c r="DE275" s="1290"/>
      <c r="DF275" s="1290"/>
      <c r="DG275" s="1290"/>
      <c r="DH275" s="1290"/>
      <c r="DI275" s="1290"/>
      <c r="DJ275" s="1290"/>
      <c r="DK275" s="1290"/>
      <c r="DL275" s="1290"/>
      <c r="DM275" s="1290"/>
      <c r="DN275" s="1290"/>
      <c r="DO275" s="1290"/>
      <c r="DP275" s="1290"/>
      <c r="DQ275" s="1290"/>
      <c r="DR275" s="1290"/>
      <c r="DS275" s="1290"/>
      <c r="DT275" s="1290"/>
      <c r="DU275" s="1290"/>
      <c r="DV275" s="1290"/>
      <c r="DW275" s="1290"/>
      <c r="DX275" s="1290"/>
      <c r="DY275" s="1290"/>
      <c r="DZ275" s="1290"/>
      <c r="EA275" s="1290"/>
      <c r="EB275" s="1290"/>
      <c r="EC275" s="1290"/>
      <c r="ED275" s="1290"/>
      <c r="EE275" s="1290"/>
      <c r="EF275" s="1290"/>
      <c r="EG275" s="1290"/>
      <c r="EH275" s="1290"/>
      <c r="EI275" s="1290"/>
      <c r="EJ275" s="1290"/>
      <c r="EK275" s="1290"/>
      <c r="EL275" s="1290"/>
      <c r="EM275" s="1290"/>
      <c r="EN275" s="1290"/>
      <c r="EO275" s="1290"/>
      <c r="EP275" s="1290"/>
      <c r="EQ275" s="1290"/>
      <c r="ER275" s="1290"/>
      <c r="ES275" s="1290"/>
      <c r="ET275" s="1290"/>
      <c r="EU275" s="1290"/>
      <c r="EV275" s="1290"/>
      <c r="EW275" s="1290"/>
      <c r="EX275" s="1290"/>
      <c r="EY275" s="1290"/>
      <c r="EZ275" s="1290"/>
      <c r="FA275" s="1290"/>
      <c r="FB275" s="1290"/>
      <c r="FC275" s="1290"/>
      <c r="FD275" s="1290"/>
      <c r="FE275" s="1290"/>
      <c r="FF275" s="1290"/>
    </row>
    <row r="277" spans="6:162" s="1292" customFormat="1" ht="15.75" customHeight="1">
      <c r="F277" s="1290"/>
      <c r="G277" s="1290"/>
      <c r="H277" s="1290"/>
      <c r="I277" s="1290"/>
      <c r="J277" s="1290"/>
      <c r="K277" s="1290"/>
      <c r="L277" s="1290"/>
      <c r="M277" s="1290"/>
      <c r="N277" s="1290"/>
      <c r="O277" s="1290"/>
      <c r="P277" s="1290"/>
      <c r="Q277" s="1290"/>
      <c r="R277" s="1290"/>
      <c r="S277" s="1290"/>
      <c r="T277" s="1290"/>
      <c r="U277" s="1290"/>
      <c r="V277" s="1290"/>
      <c r="W277" s="1290"/>
      <c r="X277" s="1290"/>
      <c r="Y277" s="1290"/>
      <c r="AA277" s="1290"/>
      <c r="AC277" s="1290"/>
      <c r="AD277" s="1290"/>
      <c r="AE277" s="1290"/>
      <c r="AF277" s="1290"/>
      <c r="AG277" s="1290"/>
      <c r="AH277" s="1291"/>
      <c r="AI277" s="1291"/>
      <c r="AJ277" s="1290"/>
      <c r="AK277" s="1290"/>
      <c r="AL277" s="1290"/>
      <c r="AM277" s="1290"/>
      <c r="AN277" s="1290"/>
      <c r="AO277" s="1290"/>
      <c r="AP277" s="1290"/>
      <c r="AQ277" s="1290"/>
      <c r="AR277" s="1290"/>
      <c r="AS277" s="1290"/>
      <c r="AT277" s="1290"/>
      <c r="AU277" s="1290"/>
      <c r="AV277" s="1290"/>
      <c r="AW277" s="1290"/>
      <c r="AX277" s="1290"/>
      <c r="AY277" s="1290"/>
      <c r="AZ277" s="1290"/>
      <c r="BA277" s="1290"/>
      <c r="BB277" s="1290"/>
      <c r="BC277" s="1290"/>
      <c r="BD277" s="1290"/>
      <c r="BE277" s="1290"/>
      <c r="BF277" s="1290"/>
      <c r="BG277" s="1290"/>
      <c r="BH277" s="1290"/>
      <c r="BI277" s="1290"/>
      <c r="BJ277" s="1290"/>
      <c r="BK277" s="1290"/>
      <c r="BL277" s="1290"/>
      <c r="BM277" s="1290"/>
      <c r="BN277" s="1290"/>
      <c r="BO277" s="1290"/>
      <c r="BP277" s="1290"/>
      <c r="BQ277" s="1290"/>
      <c r="BR277" s="1290"/>
      <c r="BS277" s="1290"/>
      <c r="BT277" s="1290"/>
      <c r="BU277" s="1290"/>
      <c r="BV277" s="1290"/>
      <c r="BW277" s="1290"/>
      <c r="BX277" s="1290"/>
      <c r="BY277" s="1290"/>
      <c r="BZ277" s="1290"/>
      <c r="CA277" s="1290"/>
      <c r="CB277" s="1290"/>
      <c r="CC277" s="1290"/>
      <c r="CD277" s="1290"/>
      <c r="CE277" s="1290"/>
      <c r="CF277" s="1290"/>
      <c r="CG277" s="1290"/>
      <c r="CH277" s="1290"/>
      <c r="CI277" s="1290"/>
      <c r="CJ277" s="1290"/>
      <c r="CK277" s="1290"/>
      <c r="CL277" s="1290"/>
      <c r="CM277" s="1290"/>
      <c r="CN277" s="1290"/>
      <c r="CO277" s="1290"/>
      <c r="CP277" s="1290"/>
      <c r="CQ277" s="1290"/>
      <c r="CR277" s="1290"/>
      <c r="CS277" s="1290"/>
      <c r="CT277" s="1290"/>
      <c r="CU277" s="1290"/>
      <c r="CV277" s="1290"/>
      <c r="CW277" s="1290"/>
      <c r="CX277" s="1290"/>
      <c r="CY277" s="1290"/>
      <c r="CZ277" s="1290"/>
      <c r="DA277" s="1290"/>
      <c r="DB277" s="1290"/>
      <c r="DC277" s="1290"/>
      <c r="DD277" s="1290"/>
      <c r="DE277" s="1290"/>
      <c r="DF277" s="1290"/>
      <c r="DG277" s="1290"/>
      <c r="DH277" s="1290"/>
      <c r="DI277" s="1290"/>
      <c r="DJ277" s="1290"/>
      <c r="DK277" s="1290"/>
      <c r="DL277" s="1290"/>
      <c r="DM277" s="1290"/>
      <c r="DN277" s="1290"/>
      <c r="DO277" s="1290"/>
      <c r="DP277" s="1290"/>
      <c r="DQ277" s="1290"/>
      <c r="DR277" s="1290"/>
      <c r="DS277" s="1290"/>
      <c r="DT277" s="1290"/>
      <c r="DU277" s="1290"/>
      <c r="DV277" s="1290"/>
      <c r="DW277" s="1290"/>
      <c r="DX277" s="1290"/>
      <c r="DY277" s="1290"/>
      <c r="DZ277" s="1290"/>
      <c r="EA277" s="1290"/>
      <c r="EB277" s="1290"/>
      <c r="EC277" s="1290"/>
      <c r="ED277" s="1290"/>
      <c r="EE277" s="1290"/>
      <c r="EF277" s="1290"/>
      <c r="EG277" s="1290"/>
      <c r="EH277" s="1290"/>
      <c r="EI277" s="1290"/>
      <c r="EJ277" s="1290"/>
      <c r="EK277" s="1290"/>
      <c r="EL277" s="1290"/>
      <c r="EM277" s="1290"/>
      <c r="EN277" s="1290"/>
      <c r="EO277" s="1290"/>
      <c r="EP277" s="1290"/>
      <c r="EQ277" s="1290"/>
      <c r="ER277" s="1290"/>
      <c r="ES277" s="1290"/>
      <c r="ET277" s="1290"/>
      <c r="EU277" s="1290"/>
      <c r="EV277" s="1290"/>
      <c r="EW277" s="1290"/>
      <c r="EX277" s="1290"/>
      <c r="EY277" s="1290"/>
      <c r="EZ277" s="1290"/>
      <c r="FA277" s="1290"/>
      <c r="FB277" s="1290"/>
      <c r="FC277" s="1290"/>
      <c r="FD277" s="1290"/>
      <c r="FE277" s="1290"/>
      <c r="FF277" s="1290"/>
    </row>
    <row r="279" spans="6:162" s="1292" customFormat="1" ht="15.75" customHeight="1">
      <c r="F279" s="1290"/>
      <c r="G279" s="1290"/>
      <c r="H279" s="1290"/>
      <c r="I279" s="1290"/>
      <c r="J279" s="1290"/>
      <c r="K279" s="1290"/>
      <c r="L279" s="1290"/>
      <c r="M279" s="1290"/>
      <c r="N279" s="1290"/>
      <c r="O279" s="1290"/>
      <c r="P279" s="1290"/>
      <c r="Q279" s="1290"/>
      <c r="R279" s="1290"/>
      <c r="S279" s="1290"/>
      <c r="T279" s="1290"/>
      <c r="U279" s="1290"/>
      <c r="V279" s="1290"/>
      <c r="W279" s="1290"/>
      <c r="X279" s="1290"/>
      <c r="Y279" s="1290"/>
      <c r="AA279" s="1290"/>
      <c r="AC279" s="1290"/>
      <c r="AD279" s="1290"/>
      <c r="AE279" s="1290"/>
      <c r="AF279" s="1290"/>
      <c r="AG279" s="1290"/>
      <c r="AH279" s="1291"/>
      <c r="AI279" s="1291"/>
      <c r="AJ279" s="1290"/>
      <c r="AK279" s="1290"/>
      <c r="AL279" s="1290"/>
      <c r="AM279" s="1290"/>
      <c r="AN279" s="1290"/>
      <c r="AO279" s="1290"/>
      <c r="AP279" s="1290"/>
      <c r="AQ279" s="1290"/>
      <c r="AR279" s="1290"/>
      <c r="AS279" s="1290"/>
      <c r="AT279" s="1290"/>
      <c r="AU279" s="1290"/>
      <c r="AV279" s="1290"/>
      <c r="AW279" s="1290"/>
      <c r="AX279" s="1290"/>
      <c r="AY279" s="1290"/>
      <c r="AZ279" s="1290"/>
      <c r="BA279" s="1290"/>
      <c r="BB279" s="1290"/>
      <c r="BC279" s="1290"/>
      <c r="BD279" s="1290"/>
      <c r="BE279" s="1290"/>
      <c r="BF279" s="1290"/>
      <c r="BG279" s="1290"/>
      <c r="BH279" s="1290"/>
      <c r="BI279" s="1290"/>
      <c r="BJ279" s="1290"/>
      <c r="BK279" s="1290"/>
      <c r="BL279" s="1290"/>
      <c r="BM279" s="1290"/>
      <c r="BN279" s="1290"/>
      <c r="BO279" s="1290"/>
      <c r="BP279" s="1290"/>
      <c r="BQ279" s="1290"/>
      <c r="BR279" s="1290"/>
      <c r="BS279" s="1290"/>
      <c r="BT279" s="1290"/>
      <c r="BU279" s="1290"/>
      <c r="BV279" s="1290"/>
      <c r="BW279" s="1290"/>
      <c r="BX279" s="1290"/>
      <c r="BY279" s="1290"/>
      <c r="BZ279" s="1290"/>
      <c r="CA279" s="1290"/>
      <c r="CB279" s="1290"/>
      <c r="CC279" s="1290"/>
      <c r="CD279" s="1290"/>
      <c r="CE279" s="1290"/>
      <c r="CF279" s="1290"/>
      <c r="CG279" s="1290"/>
      <c r="CH279" s="1290"/>
      <c r="CI279" s="1290"/>
      <c r="CJ279" s="1290"/>
      <c r="CK279" s="1290"/>
      <c r="CL279" s="1290"/>
      <c r="CM279" s="1290"/>
      <c r="CN279" s="1290"/>
      <c r="CO279" s="1290"/>
      <c r="CP279" s="1290"/>
      <c r="CQ279" s="1290"/>
      <c r="CR279" s="1290"/>
      <c r="CS279" s="1290"/>
      <c r="CT279" s="1290"/>
      <c r="CU279" s="1290"/>
      <c r="CV279" s="1290"/>
      <c r="CW279" s="1290"/>
      <c r="CX279" s="1290"/>
      <c r="CY279" s="1290"/>
      <c r="CZ279" s="1290"/>
      <c r="DA279" s="1290"/>
      <c r="DB279" s="1290"/>
      <c r="DC279" s="1290"/>
      <c r="DD279" s="1290"/>
      <c r="DE279" s="1290"/>
      <c r="DF279" s="1290"/>
      <c r="DG279" s="1290"/>
      <c r="DH279" s="1290"/>
      <c r="DI279" s="1290"/>
      <c r="DJ279" s="1290"/>
      <c r="DK279" s="1290"/>
      <c r="DL279" s="1290"/>
      <c r="DM279" s="1290"/>
      <c r="DN279" s="1290"/>
      <c r="DO279" s="1290"/>
      <c r="DP279" s="1290"/>
      <c r="DQ279" s="1290"/>
      <c r="DR279" s="1290"/>
      <c r="DS279" s="1290"/>
      <c r="DT279" s="1290"/>
      <c r="DU279" s="1290"/>
      <c r="DV279" s="1290"/>
      <c r="DW279" s="1290"/>
      <c r="DX279" s="1290"/>
      <c r="DY279" s="1290"/>
      <c r="DZ279" s="1290"/>
      <c r="EA279" s="1290"/>
      <c r="EB279" s="1290"/>
      <c r="EC279" s="1290"/>
      <c r="ED279" s="1290"/>
      <c r="EE279" s="1290"/>
      <c r="EF279" s="1290"/>
      <c r="EG279" s="1290"/>
      <c r="EH279" s="1290"/>
      <c r="EI279" s="1290"/>
      <c r="EJ279" s="1290"/>
      <c r="EK279" s="1290"/>
      <c r="EL279" s="1290"/>
      <c r="EM279" s="1290"/>
      <c r="EN279" s="1290"/>
      <c r="EO279" s="1290"/>
      <c r="EP279" s="1290"/>
      <c r="EQ279" s="1290"/>
      <c r="ER279" s="1290"/>
      <c r="ES279" s="1290"/>
      <c r="ET279" s="1290"/>
      <c r="EU279" s="1290"/>
      <c r="EV279" s="1290"/>
      <c r="EW279" s="1290"/>
      <c r="EX279" s="1290"/>
      <c r="EY279" s="1290"/>
      <c r="EZ279" s="1290"/>
      <c r="FA279" s="1290"/>
      <c r="FB279" s="1290"/>
      <c r="FC279" s="1290"/>
      <c r="FD279" s="1290"/>
      <c r="FE279" s="1290"/>
      <c r="FF279" s="1290"/>
    </row>
    <row r="281" spans="6:162" s="1292" customFormat="1" ht="15.75" customHeight="1">
      <c r="F281" s="1290"/>
      <c r="G281" s="1290"/>
      <c r="H281" s="1290"/>
      <c r="I281" s="1290"/>
      <c r="J281" s="1290"/>
      <c r="K281" s="1290"/>
      <c r="L281" s="1290"/>
      <c r="M281" s="1290"/>
      <c r="N281" s="1290"/>
      <c r="O281" s="1290"/>
      <c r="P281" s="1290"/>
      <c r="Q281" s="1290"/>
      <c r="R281" s="1290"/>
      <c r="S281" s="1290"/>
      <c r="T281" s="1290"/>
      <c r="U281" s="1290"/>
      <c r="V281" s="1290"/>
      <c r="W281" s="1290"/>
      <c r="X281" s="1290"/>
      <c r="Y281" s="1290"/>
      <c r="AA281" s="1290"/>
      <c r="AC281" s="1290"/>
      <c r="AD281" s="1290"/>
      <c r="AE281" s="1290"/>
      <c r="AF281" s="1290"/>
      <c r="AG281" s="1290"/>
      <c r="AH281" s="1291"/>
      <c r="AI281" s="1291"/>
      <c r="AJ281" s="1290"/>
      <c r="AK281" s="1290"/>
      <c r="AL281" s="1290"/>
      <c r="AM281" s="1290"/>
      <c r="AN281" s="1290"/>
      <c r="AO281" s="1290"/>
      <c r="AP281" s="1290"/>
      <c r="AQ281" s="1290"/>
      <c r="AR281" s="1290"/>
      <c r="AS281" s="1290"/>
      <c r="AT281" s="1290"/>
      <c r="AU281" s="1290"/>
      <c r="AV281" s="1290"/>
      <c r="AW281" s="1290"/>
      <c r="AX281" s="1290"/>
      <c r="AY281" s="1290"/>
      <c r="AZ281" s="1290"/>
      <c r="BA281" s="1290"/>
      <c r="BB281" s="1290"/>
      <c r="BC281" s="1290"/>
      <c r="BD281" s="1290"/>
      <c r="BE281" s="1290"/>
      <c r="BF281" s="1290"/>
      <c r="BG281" s="1290"/>
      <c r="BH281" s="1290"/>
      <c r="BI281" s="1290"/>
      <c r="BJ281" s="1290"/>
      <c r="BK281" s="1290"/>
      <c r="BL281" s="1290"/>
      <c r="BM281" s="1290"/>
      <c r="BN281" s="1290"/>
      <c r="BO281" s="1290"/>
      <c r="BP281" s="1290"/>
      <c r="BQ281" s="1290"/>
      <c r="BR281" s="1290"/>
      <c r="BS281" s="1290"/>
      <c r="BT281" s="1290"/>
      <c r="BU281" s="1290"/>
      <c r="BV281" s="1290"/>
      <c r="BW281" s="1290"/>
      <c r="BX281" s="1290"/>
      <c r="BY281" s="1290"/>
      <c r="BZ281" s="1290"/>
      <c r="CA281" s="1290"/>
      <c r="CB281" s="1290"/>
      <c r="CC281" s="1290"/>
      <c r="CD281" s="1290"/>
      <c r="CE281" s="1290"/>
      <c r="CF281" s="1290"/>
      <c r="CG281" s="1290"/>
      <c r="CH281" s="1290"/>
      <c r="CI281" s="1290"/>
      <c r="CJ281" s="1290"/>
      <c r="CK281" s="1290"/>
      <c r="CL281" s="1290"/>
      <c r="CM281" s="1290"/>
      <c r="CN281" s="1290"/>
      <c r="CO281" s="1290"/>
      <c r="CP281" s="1290"/>
      <c r="CQ281" s="1290"/>
      <c r="CR281" s="1290"/>
      <c r="CS281" s="1290"/>
      <c r="CT281" s="1290"/>
      <c r="CU281" s="1290"/>
      <c r="CV281" s="1290"/>
      <c r="CW281" s="1290"/>
      <c r="CX281" s="1290"/>
      <c r="CY281" s="1290"/>
      <c r="CZ281" s="1290"/>
      <c r="DA281" s="1290"/>
      <c r="DB281" s="1290"/>
      <c r="DC281" s="1290"/>
      <c r="DD281" s="1290"/>
      <c r="DE281" s="1290"/>
      <c r="DF281" s="1290"/>
      <c r="DG281" s="1290"/>
      <c r="DH281" s="1290"/>
      <c r="DI281" s="1290"/>
      <c r="DJ281" s="1290"/>
      <c r="DK281" s="1290"/>
      <c r="DL281" s="1290"/>
      <c r="DM281" s="1290"/>
      <c r="DN281" s="1290"/>
      <c r="DO281" s="1290"/>
      <c r="DP281" s="1290"/>
      <c r="DQ281" s="1290"/>
      <c r="DR281" s="1290"/>
      <c r="DS281" s="1290"/>
      <c r="DT281" s="1290"/>
      <c r="DU281" s="1290"/>
      <c r="DV281" s="1290"/>
      <c r="DW281" s="1290"/>
      <c r="DX281" s="1290"/>
      <c r="DY281" s="1290"/>
      <c r="DZ281" s="1290"/>
      <c r="EA281" s="1290"/>
      <c r="EB281" s="1290"/>
      <c r="EC281" s="1290"/>
      <c r="ED281" s="1290"/>
      <c r="EE281" s="1290"/>
      <c r="EF281" s="1290"/>
      <c r="EG281" s="1290"/>
      <c r="EH281" s="1290"/>
      <c r="EI281" s="1290"/>
      <c r="EJ281" s="1290"/>
      <c r="EK281" s="1290"/>
      <c r="EL281" s="1290"/>
      <c r="EM281" s="1290"/>
      <c r="EN281" s="1290"/>
      <c r="EO281" s="1290"/>
      <c r="EP281" s="1290"/>
      <c r="EQ281" s="1290"/>
      <c r="ER281" s="1290"/>
      <c r="ES281" s="1290"/>
      <c r="ET281" s="1290"/>
      <c r="EU281" s="1290"/>
      <c r="EV281" s="1290"/>
      <c r="EW281" s="1290"/>
      <c r="EX281" s="1290"/>
      <c r="EY281" s="1290"/>
      <c r="EZ281" s="1290"/>
      <c r="FA281" s="1290"/>
      <c r="FB281" s="1290"/>
      <c r="FC281" s="1290"/>
      <c r="FD281" s="1290"/>
      <c r="FE281" s="1290"/>
      <c r="FF281" s="1290"/>
    </row>
    <row r="283" spans="6:162" s="1292" customFormat="1" ht="15.75" customHeight="1">
      <c r="F283" s="1290"/>
      <c r="G283" s="1290"/>
      <c r="H283" s="1290"/>
      <c r="I283" s="1290"/>
      <c r="J283" s="1290"/>
      <c r="K283" s="1290"/>
      <c r="L283" s="1290"/>
      <c r="M283" s="1290"/>
      <c r="N283" s="1290"/>
      <c r="O283" s="1290"/>
      <c r="P283" s="1290"/>
      <c r="Q283" s="1290"/>
      <c r="R283" s="1290"/>
      <c r="S283" s="1290"/>
      <c r="T283" s="1290"/>
      <c r="U283" s="1290"/>
      <c r="V283" s="1290"/>
      <c r="W283" s="1290"/>
      <c r="X283" s="1290"/>
      <c r="Y283" s="1290"/>
      <c r="AA283" s="1290"/>
      <c r="AC283" s="1290"/>
      <c r="AD283" s="1290"/>
      <c r="AE283" s="1290"/>
      <c r="AF283" s="1290"/>
      <c r="AG283" s="1290"/>
      <c r="AH283" s="1291"/>
      <c r="AI283" s="1291"/>
      <c r="AJ283" s="1290"/>
      <c r="AK283" s="1290"/>
      <c r="AL283" s="1290"/>
      <c r="AM283" s="1290"/>
      <c r="AN283" s="1290"/>
      <c r="AO283" s="1290"/>
      <c r="AP283" s="1290"/>
      <c r="AQ283" s="1290"/>
      <c r="AR283" s="1290"/>
      <c r="AS283" s="1290"/>
      <c r="AT283" s="1290"/>
      <c r="AU283" s="1290"/>
      <c r="AV283" s="1290"/>
      <c r="AW283" s="1290"/>
      <c r="AX283" s="1290"/>
      <c r="AY283" s="1290"/>
      <c r="AZ283" s="1290"/>
      <c r="BA283" s="1290"/>
      <c r="BB283" s="1290"/>
      <c r="BC283" s="1290"/>
      <c r="BD283" s="1290"/>
      <c r="BE283" s="1290"/>
      <c r="BF283" s="1290"/>
      <c r="BG283" s="1290"/>
      <c r="BH283" s="1290"/>
      <c r="BI283" s="1290"/>
      <c r="BJ283" s="1290"/>
      <c r="BK283" s="1290"/>
      <c r="BL283" s="1290"/>
      <c r="BM283" s="1290"/>
      <c r="BN283" s="1290"/>
      <c r="BO283" s="1290"/>
      <c r="BP283" s="1290"/>
      <c r="BQ283" s="1290"/>
      <c r="BR283" s="1290"/>
      <c r="BS283" s="1290"/>
      <c r="BT283" s="1290"/>
      <c r="BU283" s="1290"/>
      <c r="BV283" s="1290"/>
      <c r="BW283" s="1290"/>
      <c r="BX283" s="1290"/>
      <c r="BY283" s="1290"/>
      <c r="BZ283" s="1290"/>
      <c r="CA283" s="1290"/>
      <c r="CB283" s="1290"/>
      <c r="CC283" s="1290"/>
      <c r="CD283" s="1290"/>
      <c r="CE283" s="1290"/>
      <c r="CF283" s="1290"/>
      <c r="CG283" s="1290"/>
      <c r="CH283" s="1290"/>
      <c r="CI283" s="1290"/>
      <c r="CJ283" s="1290"/>
      <c r="CK283" s="1290"/>
      <c r="CL283" s="1290"/>
      <c r="CM283" s="1290"/>
      <c r="CN283" s="1290"/>
      <c r="CO283" s="1290"/>
      <c r="CP283" s="1290"/>
      <c r="CQ283" s="1290"/>
      <c r="CR283" s="1290"/>
      <c r="CS283" s="1290"/>
      <c r="CT283" s="1290"/>
      <c r="CU283" s="1290"/>
      <c r="CV283" s="1290"/>
      <c r="CW283" s="1290"/>
      <c r="CX283" s="1290"/>
      <c r="CY283" s="1290"/>
      <c r="CZ283" s="1290"/>
      <c r="DA283" s="1290"/>
      <c r="DB283" s="1290"/>
      <c r="DC283" s="1290"/>
      <c r="DD283" s="1290"/>
      <c r="DE283" s="1290"/>
      <c r="DF283" s="1290"/>
      <c r="DG283" s="1290"/>
      <c r="DH283" s="1290"/>
      <c r="DI283" s="1290"/>
      <c r="DJ283" s="1290"/>
      <c r="DK283" s="1290"/>
      <c r="DL283" s="1290"/>
      <c r="DM283" s="1290"/>
      <c r="DN283" s="1290"/>
      <c r="DO283" s="1290"/>
      <c r="DP283" s="1290"/>
      <c r="DQ283" s="1290"/>
      <c r="DR283" s="1290"/>
      <c r="DS283" s="1290"/>
      <c r="DT283" s="1290"/>
      <c r="DU283" s="1290"/>
      <c r="DV283" s="1290"/>
      <c r="DW283" s="1290"/>
      <c r="DX283" s="1290"/>
      <c r="DY283" s="1290"/>
      <c r="DZ283" s="1290"/>
      <c r="EA283" s="1290"/>
      <c r="EB283" s="1290"/>
      <c r="EC283" s="1290"/>
      <c r="ED283" s="1290"/>
      <c r="EE283" s="1290"/>
      <c r="EF283" s="1290"/>
      <c r="EG283" s="1290"/>
      <c r="EH283" s="1290"/>
      <c r="EI283" s="1290"/>
      <c r="EJ283" s="1290"/>
      <c r="EK283" s="1290"/>
      <c r="EL283" s="1290"/>
      <c r="EM283" s="1290"/>
      <c r="EN283" s="1290"/>
      <c r="EO283" s="1290"/>
      <c r="EP283" s="1290"/>
      <c r="EQ283" s="1290"/>
      <c r="ER283" s="1290"/>
      <c r="ES283" s="1290"/>
      <c r="ET283" s="1290"/>
      <c r="EU283" s="1290"/>
      <c r="EV283" s="1290"/>
      <c r="EW283" s="1290"/>
      <c r="EX283" s="1290"/>
      <c r="EY283" s="1290"/>
      <c r="EZ283" s="1290"/>
      <c r="FA283" s="1290"/>
      <c r="FB283" s="1290"/>
      <c r="FC283" s="1290"/>
      <c r="FD283" s="1290"/>
      <c r="FE283" s="1290"/>
      <c r="FF283" s="1290"/>
    </row>
    <row r="285" spans="6:162" s="1292" customFormat="1" ht="15.75" customHeight="1">
      <c r="F285" s="1290"/>
      <c r="G285" s="1290"/>
      <c r="H285" s="1290"/>
      <c r="I285" s="1290"/>
      <c r="J285" s="1290"/>
      <c r="K285" s="1290"/>
      <c r="L285" s="1290"/>
      <c r="M285" s="1290"/>
      <c r="N285" s="1290"/>
      <c r="O285" s="1290"/>
      <c r="P285" s="1290"/>
      <c r="Q285" s="1290"/>
      <c r="R285" s="1290"/>
      <c r="S285" s="1290"/>
      <c r="T285" s="1290"/>
      <c r="U285" s="1290"/>
      <c r="V285" s="1290"/>
      <c r="W285" s="1290"/>
      <c r="X285" s="1290"/>
      <c r="Y285" s="1290"/>
      <c r="AA285" s="1290"/>
      <c r="AC285" s="1290"/>
      <c r="AD285" s="1290"/>
      <c r="AE285" s="1290"/>
      <c r="AF285" s="1290"/>
      <c r="AG285" s="1290"/>
      <c r="AH285" s="1291"/>
      <c r="AI285" s="1291"/>
      <c r="AJ285" s="1290"/>
      <c r="AK285" s="1290"/>
      <c r="AL285" s="1290"/>
      <c r="AM285" s="1290"/>
      <c r="AN285" s="1290"/>
      <c r="AO285" s="1290"/>
      <c r="AP285" s="1290"/>
      <c r="AQ285" s="1290"/>
      <c r="AR285" s="1290"/>
      <c r="AS285" s="1290"/>
      <c r="AT285" s="1290"/>
      <c r="AU285" s="1290"/>
      <c r="AV285" s="1290"/>
      <c r="AW285" s="1290"/>
      <c r="AX285" s="1290"/>
      <c r="AY285" s="1290"/>
      <c r="AZ285" s="1290"/>
      <c r="BA285" s="1290"/>
      <c r="BB285" s="1290"/>
      <c r="BC285" s="1290"/>
      <c r="BD285" s="1290"/>
      <c r="BE285" s="1290"/>
      <c r="BF285" s="1290"/>
      <c r="BG285" s="1290"/>
      <c r="BH285" s="1290"/>
      <c r="BI285" s="1290"/>
      <c r="BJ285" s="1290"/>
      <c r="BK285" s="1290"/>
      <c r="BL285" s="1290"/>
      <c r="BM285" s="1290"/>
      <c r="BN285" s="1290"/>
      <c r="BO285" s="1290"/>
      <c r="BP285" s="1290"/>
      <c r="BQ285" s="1290"/>
      <c r="BR285" s="1290"/>
      <c r="BS285" s="1290"/>
      <c r="BT285" s="1290"/>
      <c r="BU285" s="1290"/>
      <c r="BV285" s="1290"/>
      <c r="BW285" s="1290"/>
      <c r="BX285" s="1290"/>
      <c r="BY285" s="1290"/>
      <c r="BZ285" s="1290"/>
      <c r="CA285" s="1290"/>
      <c r="CB285" s="1290"/>
      <c r="CC285" s="1290"/>
      <c r="CD285" s="1290"/>
      <c r="CE285" s="1290"/>
      <c r="CF285" s="1290"/>
      <c r="CG285" s="1290"/>
      <c r="CH285" s="1290"/>
      <c r="CI285" s="1290"/>
      <c r="CJ285" s="1290"/>
      <c r="CK285" s="1290"/>
      <c r="CL285" s="1290"/>
      <c r="CM285" s="1290"/>
      <c r="CN285" s="1290"/>
      <c r="CO285" s="1290"/>
      <c r="CP285" s="1290"/>
      <c r="CQ285" s="1290"/>
      <c r="CR285" s="1290"/>
      <c r="CS285" s="1290"/>
      <c r="CT285" s="1290"/>
      <c r="CU285" s="1290"/>
      <c r="CV285" s="1290"/>
      <c r="CW285" s="1290"/>
      <c r="CX285" s="1290"/>
      <c r="CY285" s="1290"/>
      <c r="CZ285" s="1290"/>
      <c r="DA285" s="1290"/>
      <c r="DB285" s="1290"/>
      <c r="DC285" s="1290"/>
      <c r="DD285" s="1290"/>
      <c r="DE285" s="1290"/>
      <c r="DF285" s="1290"/>
      <c r="DG285" s="1290"/>
      <c r="DH285" s="1290"/>
      <c r="DI285" s="1290"/>
      <c r="DJ285" s="1290"/>
      <c r="DK285" s="1290"/>
      <c r="DL285" s="1290"/>
      <c r="DM285" s="1290"/>
      <c r="DN285" s="1290"/>
      <c r="DO285" s="1290"/>
      <c r="DP285" s="1290"/>
      <c r="DQ285" s="1290"/>
      <c r="DR285" s="1290"/>
      <c r="DS285" s="1290"/>
      <c r="DT285" s="1290"/>
      <c r="DU285" s="1290"/>
      <c r="DV285" s="1290"/>
      <c r="DW285" s="1290"/>
      <c r="DX285" s="1290"/>
      <c r="DY285" s="1290"/>
      <c r="DZ285" s="1290"/>
      <c r="EA285" s="1290"/>
      <c r="EB285" s="1290"/>
      <c r="EC285" s="1290"/>
      <c r="ED285" s="1290"/>
      <c r="EE285" s="1290"/>
      <c r="EF285" s="1290"/>
      <c r="EG285" s="1290"/>
      <c r="EH285" s="1290"/>
      <c r="EI285" s="1290"/>
      <c r="EJ285" s="1290"/>
      <c r="EK285" s="1290"/>
      <c r="EL285" s="1290"/>
      <c r="EM285" s="1290"/>
      <c r="EN285" s="1290"/>
      <c r="EO285" s="1290"/>
      <c r="EP285" s="1290"/>
      <c r="EQ285" s="1290"/>
      <c r="ER285" s="1290"/>
      <c r="ES285" s="1290"/>
      <c r="ET285" s="1290"/>
      <c r="EU285" s="1290"/>
      <c r="EV285" s="1290"/>
      <c r="EW285" s="1290"/>
      <c r="EX285" s="1290"/>
      <c r="EY285" s="1290"/>
      <c r="EZ285" s="1290"/>
      <c r="FA285" s="1290"/>
      <c r="FB285" s="1290"/>
      <c r="FC285" s="1290"/>
      <c r="FD285" s="1290"/>
      <c r="FE285" s="1290"/>
      <c r="FF285" s="1290"/>
    </row>
    <row r="287" spans="6:162" s="1292" customFormat="1" ht="15.75" customHeight="1">
      <c r="F287" s="1290"/>
      <c r="G287" s="1290"/>
      <c r="H287" s="1290"/>
      <c r="I287" s="1290"/>
      <c r="J287" s="1290"/>
      <c r="K287" s="1290"/>
      <c r="L287" s="1290"/>
      <c r="M287" s="1290"/>
      <c r="N287" s="1290"/>
      <c r="O287" s="1290"/>
      <c r="P287" s="1290"/>
      <c r="Q287" s="1290"/>
      <c r="R287" s="1290"/>
      <c r="S287" s="1290"/>
      <c r="T287" s="1290"/>
      <c r="U287" s="1290"/>
      <c r="V287" s="1290"/>
      <c r="W287" s="1290"/>
      <c r="X287" s="1290"/>
      <c r="Y287" s="1290"/>
      <c r="AA287" s="1290"/>
      <c r="AC287" s="1290"/>
      <c r="AD287" s="1290"/>
      <c r="AE287" s="1290"/>
      <c r="AF287" s="1290"/>
      <c r="AG287" s="1290"/>
      <c r="AH287" s="1291"/>
      <c r="AI287" s="1291"/>
      <c r="AJ287" s="1290"/>
      <c r="AK287" s="1290"/>
      <c r="AL287" s="1290"/>
      <c r="AM287" s="1290"/>
      <c r="AN287" s="1290"/>
      <c r="AO287" s="1290"/>
      <c r="AP287" s="1290"/>
      <c r="AQ287" s="1290"/>
      <c r="AR287" s="1290"/>
      <c r="AS287" s="1290"/>
      <c r="AT287" s="1290"/>
      <c r="AU287" s="1290"/>
      <c r="AV287" s="1290"/>
      <c r="AW287" s="1290"/>
      <c r="AX287" s="1290"/>
      <c r="AY287" s="1290"/>
      <c r="AZ287" s="1290"/>
      <c r="BA287" s="1290"/>
      <c r="BB287" s="1290"/>
      <c r="BC287" s="1290"/>
      <c r="BD287" s="1290"/>
      <c r="BE287" s="1290"/>
      <c r="BF287" s="1290"/>
      <c r="BG287" s="1290"/>
      <c r="BH287" s="1290"/>
      <c r="BI287" s="1290"/>
      <c r="BJ287" s="1290"/>
      <c r="BK287" s="1290"/>
      <c r="BL287" s="1290"/>
      <c r="BM287" s="1290"/>
      <c r="BN287" s="1290"/>
      <c r="BO287" s="1290"/>
      <c r="BP287" s="1290"/>
      <c r="BQ287" s="1290"/>
      <c r="BR287" s="1290"/>
      <c r="BS287" s="1290"/>
      <c r="BT287" s="1290"/>
      <c r="BU287" s="1290"/>
      <c r="BV287" s="1290"/>
      <c r="BW287" s="1290"/>
      <c r="BX287" s="1290"/>
      <c r="BY287" s="1290"/>
      <c r="BZ287" s="1290"/>
      <c r="CA287" s="1290"/>
      <c r="CB287" s="1290"/>
      <c r="CC287" s="1290"/>
      <c r="CD287" s="1290"/>
      <c r="CE287" s="1290"/>
      <c r="CF287" s="1290"/>
      <c r="CG287" s="1290"/>
      <c r="CH287" s="1290"/>
      <c r="CI287" s="1290"/>
      <c r="CJ287" s="1290"/>
      <c r="CK287" s="1290"/>
      <c r="CL287" s="1290"/>
      <c r="CM287" s="1290"/>
      <c r="CN287" s="1290"/>
      <c r="CO287" s="1290"/>
      <c r="CP287" s="1290"/>
      <c r="CQ287" s="1290"/>
      <c r="CR287" s="1290"/>
      <c r="CS287" s="1290"/>
      <c r="CT287" s="1290"/>
      <c r="CU287" s="1290"/>
      <c r="CV287" s="1290"/>
      <c r="CW287" s="1290"/>
      <c r="CX287" s="1290"/>
      <c r="CY287" s="1290"/>
      <c r="CZ287" s="1290"/>
      <c r="DA287" s="1290"/>
      <c r="DB287" s="1290"/>
      <c r="DC287" s="1290"/>
      <c r="DD287" s="1290"/>
      <c r="DE287" s="1290"/>
      <c r="DF287" s="1290"/>
      <c r="DG287" s="1290"/>
      <c r="DH287" s="1290"/>
      <c r="DI287" s="1290"/>
      <c r="DJ287" s="1290"/>
      <c r="DK287" s="1290"/>
      <c r="DL287" s="1290"/>
      <c r="DM287" s="1290"/>
      <c r="DN287" s="1290"/>
      <c r="DO287" s="1290"/>
      <c r="DP287" s="1290"/>
      <c r="DQ287" s="1290"/>
      <c r="DR287" s="1290"/>
      <c r="DS287" s="1290"/>
      <c r="DT287" s="1290"/>
      <c r="DU287" s="1290"/>
      <c r="DV287" s="1290"/>
      <c r="DW287" s="1290"/>
      <c r="DX287" s="1290"/>
      <c r="DY287" s="1290"/>
      <c r="DZ287" s="1290"/>
      <c r="EA287" s="1290"/>
      <c r="EB287" s="1290"/>
      <c r="EC287" s="1290"/>
      <c r="ED287" s="1290"/>
      <c r="EE287" s="1290"/>
      <c r="EF287" s="1290"/>
      <c r="EG287" s="1290"/>
      <c r="EH287" s="1290"/>
      <c r="EI287" s="1290"/>
      <c r="EJ287" s="1290"/>
      <c r="EK287" s="1290"/>
      <c r="EL287" s="1290"/>
      <c r="EM287" s="1290"/>
      <c r="EN287" s="1290"/>
      <c r="EO287" s="1290"/>
      <c r="EP287" s="1290"/>
      <c r="EQ287" s="1290"/>
      <c r="ER287" s="1290"/>
      <c r="ES287" s="1290"/>
      <c r="ET287" s="1290"/>
      <c r="EU287" s="1290"/>
      <c r="EV287" s="1290"/>
      <c r="EW287" s="1290"/>
      <c r="EX287" s="1290"/>
      <c r="EY287" s="1290"/>
      <c r="EZ287" s="1290"/>
      <c r="FA287" s="1290"/>
      <c r="FB287" s="1290"/>
      <c r="FC287" s="1290"/>
      <c r="FD287" s="1290"/>
      <c r="FE287" s="1290"/>
      <c r="FF287" s="1290"/>
    </row>
    <row r="289" spans="6:162" s="1292" customFormat="1" ht="15.75" customHeight="1">
      <c r="F289" s="1290"/>
      <c r="G289" s="1290"/>
      <c r="H289" s="1290"/>
      <c r="I289" s="1290"/>
      <c r="J289" s="1290"/>
      <c r="K289" s="1290"/>
      <c r="L289" s="1290"/>
      <c r="M289" s="1290"/>
      <c r="N289" s="1290"/>
      <c r="O289" s="1290"/>
      <c r="P289" s="1290"/>
      <c r="Q289" s="1290"/>
      <c r="R289" s="1290"/>
      <c r="S289" s="1290"/>
      <c r="T289" s="1290"/>
      <c r="U289" s="1290"/>
      <c r="V289" s="1290"/>
      <c r="W289" s="1290"/>
      <c r="X289" s="1290"/>
      <c r="Y289" s="1290"/>
      <c r="AA289" s="1290"/>
      <c r="AC289" s="1290"/>
      <c r="AD289" s="1290"/>
      <c r="AE289" s="1290"/>
      <c r="AF289" s="1290"/>
      <c r="AG289" s="1290"/>
      <c r="AH289" s="1291"/>
      <c r="AI289" s="1291"/>
      <c r="AJ289" s="1290"/>
      <c r="AK289" s="1290"/>
      <c r="AL289" s="1290"/>
      <c r="AM289" s="1290"/>
      <c r="AN289" s="1290"/>
      <c r="AO289" s="1290"/>
      <c r="AP289" s="1290"/>
      <c r="AQ289" s="1290"/>
      <c r="AR289" s="1290"/>
      <c r="AS289" s="1290"/>
      <c r="AT289" s="1290"/>
      <c r="AU289" s="1290"/>
      <c r="AV289" s="1290"/>
      <c r="AW289" s="1290"/>
      <c r="AX289" s="1290"/>
      <c r="AY289" s="1290"/>
      <c r="AZ289" s="1290"/>
      <c r="BA289" s="1290"/>
      <c r="BB289" s="1290"/>
      <c r="BC289" s="1290"/>
      <c r="BD289" s="1290"/>
      <c r="BE289" s="1290"/>
      <c r="BF289" s="1290"/>
      <c r="BG289" s="1290"/>
      <c r="BH289" s="1290"/>
      <c r="BI289" s="1290"/>
      <c r="BJ289" s="1290"/>
      <c r="BK289" s="1290"/>
      <c r="BL289" s="1290"/>
      <c r="BM289" s="1290"/>
      <c r="BN289" s="1290"/>
      <c r="BO289" s="1290"/>
      <c r="BP289" s="1290"/>
      <c r="BQ289" s="1290"/>
      <c r="BR289" s="1290"/>
      <c r="BS289" s="1290"/>
      <c r="BT289" s="1290"/>
      <c r="BU289" s="1290"/>
      <c r="BV289" s="1290"/>
      <c r="BW289" s="1290"/>
      <c r="BX289" s="1290"/>
      <c r="BY289" s="1290"/>
      <c r="BZ289" s="1290"/>
      <c r="CA289" s="1290"/>
      <c r="CB289" s="1290"/>
      <c r="CC289" s="1290"/>
      <c r="CD289" s="1290"/>
      <c r="CE289" s="1290"/>
      <c r="CF289" s="1290"/>
      <c r="CG289" s="1290"/>
      <c r="CH289" s="1290"/>
      <c r="CI289" s="1290"/>
      <c r="CJ289" s="1290"/>
      <c r="CK289" s="1290"/>
      <c r="CL289" s="1290"/>
      <c r="CM289" s="1290"/>
      <c r="CN289" s="1290"/>
      <c r="CO289" s="1290"/>
      <c r="CP289" s="1290"/>
      <c r="CQ289" s="1290"/>
      <c r="CR289" s="1290"/>
      <c r="CS289" s="1290"/>
      <c r="CT289" s="1290"/>
      <c r="CU289" s="1290"/>
      <c r="CV289" s="1290"/>
      <c r="CW289" s="1290"/>
      <c r="CX289" s="1290"/>
      <c r="CY289" s="1290"/>
      <c r="CZ289" s="1290"/>
      <c r="DA289" s="1290"/>
      <c r="DB289" s="1290"/>
      <c r="DC289" s="1290"/>
      <c r="DD289" s="1290"/>
      <c r="DE289" s="1290"/>
      <c r="DF289" s="1290"/>
      <c r="DG289" s="1290"/>
      <c r="DH289" s="1290"/>
      <c r="DI289" s="1290"/>
      <c r="DJ289" s="1290"/>
      <c r="DK289" s="1290"/>
      <c r="DL289" s="1290"/>
      <c r="DM289" s="1290"/>
      <c r="DN289" s="1290"/>
      <c r="DO289" s="1290"/>
      <c r="DP289" s="1290"/>
      <c r="DQ289" s="1290"/>
      <c r="DR289" s="1290"/>
      <c r="DS289" s="1290"/>
      <c r="DT289" s="1290"/>
      <c r="DU289" s="1290"/>
      <c r="DV289" s="1290"/>
      <c r="DW289" s="1290"/>
      <c r="DX289" s="1290"/>
      <c r="DY289" s="1290"/>
      <c r="DZ289" s="1290"/>
      <c r="EA289" s="1290"/>
      <c r="EB289" s="1290"/>
      <c r="EC289" s="1290"/>
      <c r="ED289" s="1290"/>
      <c r="EE289" s="1290"/>
      <c r="EF289" s="1290"/>
      <c r="EG289" s="1290"/>
      <c r="EH289" s="1290"/>
      <c r="EI289" s="1290"/>
      <c r="EJ289" s="1290"/>
      <c r="EK289" s="1290"/>
      <c r="EL289" s="1290"/>
      <c r="EM289" s="1290"/>
      <c r="EN289" s="1290"/>
      <c r="EO289" s="1290"/>
      <c r="EP289" s="1290"/>
      <c r="EQ289" s="1290"/>
      <c r="ER289" s="1290"/>
      <c r="ES289" s="1290"/>
      <c r="ET289" s="1290"/>
      <c r="EU289" s="1290"/>
      <c r="EV289" s="1290"/>
      <c r="EW289" s="1290"/>
      <c r="EX289" s="1290"/>
      <c r="EY289" s="1290"/>
      <c r="EZ289" s="1290"/>
      <c r="FA289" s="1290"/>
      <c r="FB289" s="1290"/>
      <c r="FC289" s="1290"/>
      <c r="FD289" s="1290"/>
      <c r="FE289" s="1290"/>
      <c r="FF289" s="1290"/>
    </row>
    <row r="291" spans="6:162" s="1292" customFormat="1" ht="15.75" customHeight="1">
      <c r="F291" s="1290"/>
      <c r="G291" s="1290"/>
      <c r="H291" s="1290"/>
      <c r="I291" s="1290"/>
      <c r="J291" s="1290"/>
      <c r="K291" s="1290"/>
      <c r="L291" s="1290"/>
      <c r="M291" s="1290"/>
      <c r="N291" s="1290"/>
      <c r="O291" s="1290"/>
      <c r="P291" s="1290"/>
      <c r="Q291" s="1290"/>
      <c r="R291" s="1290"/>
      <c r="S291" s="1290"/>
      <c r="T291" s="1290"/>
      <c r="U291" s="1290"/>
      <c r="V291" s="1290"/>
      <c r="W291" s="1290"/>
      <c r="X291" s="1290"/>
      <c r="Y291" s="1290"/>
      <c r="AA291" s="1290"/>
      <c r="AC291" s="1290"/>
      <c r="AD291" s="1290"/>
      <c r="AE291" s="1290"/>
      <c r="AF291" s="1290"/>
      <c r="AG291" s="1290"/>
      <c r="AH291" s="1291"/>
      <c r="AI291" s="1291"/>
      <c r="AJ291" s="1290"/>
      <c r="AK291" s="1290"/>
      <c r="AL291" s="1290"/>
      <c r="AM291" s="1290"/>
      <c r="AN291" s="1290"/>
      <c r="AO291" s="1290"/>
      <c r="AP291" s="1290"/>
      <c r="AQ291" s="1290"/>
      <c r="AR291" s="1290"/>
      <c r="AS291" s="1290"/>
      <c r="AT291" s="1290"/>
      <c r="AU291" s="1290"/>
      <c r="AV291" s="1290"/>
      <c r="AW291" s="1290"/>
      <c r="AX291" s="1290"/>
      <c r="AY291" s="1290"/>
      <c r="AZ291" s="1290"/>
      <c r="BA291" s="1290"/>
      <c r="BB291" s="1290"/>
      <c r="BC291" s="1290"/>
      <c r="BD291" s="1290"/>
      <c r="BE291" s="1290"/>
      <c r="BF291" s="1290"/>
      <c r="BG291" s="1290"/>
      <c r="BH291" s="1290"/>
      <c r="BI291" s="1290"/>
      <c r="BJ291" s="1290"/>
      <c r="BK291" s="1290"/>
      <c r="BL291" s="1290"/>
      <c r="BM291" s="1290"/>
      <c r="BN291" s="1290"/>
      <c r="BO291" s="1290"/>
      <c r="BP291" s="1290"/>
      <c r="BQ291" s="1290"/>
      <c r="BR291" s="1290"/>
      <c r="BS291" s="1290"/>
      <c r="BT291" s="1290"/>
      <c r="BU291" s="1290"/>
      <c r="BV291" s="1290"/>
      <c r="BW291" s="1290"/>
      <c r="BX291" s="1290"/>
      <c r="BY291" s="1290"/>
      <c r="BZ291" s="1290"/>
      <c r="CA291" s="1290"/>
      <c r="CB291" s="1290"/>
      <c r="CC291" s="1290"/>
      <c r="CD291" s="1290"/>
      <c r="CE291" s="1290"/>
      <c r="CF291" s="1290"/>
      <c r="CG291" s="1290"/>
      <c r="CH291" s="1290"/>
      <c r="CI291" s="1290"/>
      <c r="CJ291" s="1290"/>
      <c r="CK291" s="1290"/>
      <c r="CL291" s="1290"/>
      <c r="CM291" s="1290"/>
      <c r="CN291" s="1290"/>
      <c r="CO291" s="1290"/>
      <c r="CP291" s="1290"/>
      <c r="CQ291" s="1290"/>
      <c r="CR291" s="1290"/>
      <c r="CS291" s="1290"/>
      <c r="CT291" s="1290"/>
      <c r="CU291" s="1290"/>
      <c r="CV291" s="1290"/>
      <c r="CW291" s="1290"/>
      <c r="CX291" s="1290"/>
      <c r="CY291" s="1290"/>
      <c r="CZ291" s="1290"/>
      <c r="DA291" s="1290"/>
      <c r="DB291" s="1290"/>
      <c r="DC291" s="1290"/>
      <c r="DD291" s="1290"/>
      <c r="DE291" s="1290"/>
      <c r="DF291" s="1290"/>
      <c r="DG291" s="1290"/>
      <c r="DH291" s="1290"/>
      <c r="DI291" s="1290"/>
      <c r="DJ291" s="1290"/>
      <c r="DK291" s="1290"/>
      <c r="DL291" s="1290"/>
      <c r="DM291" s="1290"/>
      <c r="DN291" s="1290"/>
      <c r="DO291" s="1290"/>
      <c r="DP291" s="1290"/>
      <c r="DQ291" s="1290"/>
      <c r="DR291" s="1290"/>
      <c r="DS291" s="1290"/>
      <c r="DT291" s="1290"/>
      <c r="DU291" s="1290"/>
      <c r="DV291" s="1290"/>
      <c r="DW291" s="1290"/>
      <c r="DX291" s="1290"/>
      <c r="DY291" s="1290"/>
      <c r="DZ291" s="1290"/>
      <c r="EA291" s="1290"/>
      <c r="EB291" s="1290"/>
      <c r="EC291" s="1290"/>
      <c r="ED291" s="1290"/>
      <c r="EE291" s="1290"/>
      <c r="EF291" s="1290"/>
      <c r="EG291" s="1290"/>
      <c r="EH291" s="1290"/>
      <c r="EI291" s="1290"/>
      <c r="EJ291" s="1290"/>
      <c r="EK291" s="1290"/>
      <c r="EL291" s="1290"/>
      <c r="EM291" s="1290"/>
      <c r="EN291" s="1290"/>
      <c r="EO291" s="1290"/>
      <c r="EP291" s="1290"/>
      <c r="EQ291" s="1290"/>
      <c r="ER291" s="1290"/>
      <c r="ES291" s="1290"/>
      <c r="ET291" s="1290"/>
      <c r="EU291" s="1290"/>
      <c r="EV291" s="1290"/>
      <c r="EW291" s="1290"/>
      <c r="EX291" s="1290"/>
      <c r="EY291" s="1290"/>
      <c r="EZ291" s="1290"/>
      <c r="FA291" s="1290"/>
      <c r="FB291" s="1290"/>
      <c r="FC291" s="1290"/>
      <c r="FD291" s="1290"/>
      <c r="FE291" s="1290"/>
      <c r="FF291" s="1290"/>
    </row>
    <row r="293" spans="6:162" s="1292" customFormat="1" ht="15.75" customHeight="1">
      <c r="F293" s="1290"/>
      <c r="G293" s="1290"/>
      <c r="H293" s="1290"/>
      <c r="I293" s="1290"/>
      <c r="J293" s="1290"/>
      <c r="K293" s="1290"/>
      <c r="L293" s="1290"/>
      <c r="M293" s="1290"/>
      <c r="N293" s="1290"/>
      <c r="O293" s="1290"/>
      <c r="P293" s="1290"/>
      <c r="Q293" s="1290"/>
      <c r="R293" s="1290"/>
      <c r="S293" s="1290"/>
      <c r="T293" s="1290"/>
      <c r="U293" s="1290"/>
      <c r="V293" s="1290"/>
      <c r="W293" s="1290"/>
      <c r="X293" s="1290"/>
      <c r="Y293" s="1290"/>
      <c r="AA293" s="1290"/>
      <c r="AC293" s="1290"/>
      <c r="AD293" s="1290"/>
      <c r="AE293" s="1290"/>
      <c r="AF293" s="1290"/>
      <c r="AG293" s="1290"/>
      <c r="AH293" s="1291"/>
      <c r="AI293" s="1291"/>
      <c r="AJ293" s="1290"/>
      <c r="AK293" s="1290"/>
      <c r="AL293" s="1290"/>
      <c r="AM293" s="1290"/>
      <c r="AN293" s="1290"/>
      <c r="AO293" s="1290"/>
      <c r="AP293" s="1290"/>
      <c r="AQ293" s="1290"/>
      <c r="AR293" s="1290"/>
      <c r="AS293" s="1290"/>
      <c r="AT293" s="1290"/>
      <c r="AU293" s="1290"/>
      <c r="AV293" s="1290"/>
      <c r="AW293" s="1290"/>
      <c r="AX293" s="1290"/>
      <c r="AY293" s="1290"/>
      <c r="AZ293" s="1290"/>
      <c r="BA293" s="1290"/>
      <c r="BB293" s="1290"/>
      <c r="BC293" s="1290"/>
      <c r="BD293" s="1290"/>
      <c r="BE293" s="1290"/>
      <c r="BF293" s="1290"/>
      <c r="BG293" s="1290"/>
      <c r="BH293" s="1290"/>
      <c r="BI293" s="1290"/>
      <c r="BJ293" s="1290"/>
      <c r="BK293" s="1290"/>
      <c r="BL293" s="1290"/>
      <c r="BM293" s="1290"/>
      <c r="BN293" s="1290"/>
      <c r="BO293" s="1290"/>
      <c r="BP293" s="1290"/>
      <c r="BQ293" s="1290"/>
      <c r="BR293" s="1290"/>
      <c r="BS293" s="1290"/>
      <c r="BT293" s="1290"/>
      <c r="BU293" s="1290"/>
      <c r="BV293" s="1290"/>
      <c r="BW293" s="1290"/>
      <c r="BX293" s="1290"/>
      <c r="BY293" s="1290"/>
      <c r="BZ293" s="1290"/>
      <c r="CA293" s="1290"/>
      <c r="CB293" s="1290"/>
      <c r="CC293" s="1290"/>
      <c r="CD293" s="1290"/>
      <c r="CE293" s="1290"/>
      <c r="CF293" s="1290"/>
      <c r="CG293" s="1290"/>
      <c r="CH293" s="1290"/>
      <c r="CI293" s="1290"/>
      <c r="CJ293" s="1290"/>
      <c r="CK293" s="1290"/>
      <c r="CL293" s="1290"/>
      <c r="CM293" s="1290"/>
      <c r="CN293" s="1290"/>
      <c r="CO293" s="1290"/>
      <c r="CP293" s="1290"/>
      <c r="CQ293" s="1290"/>
      <c r="CR293" s="1290"/>
      <c r="CS293" s="1290"/>
      <c r="CT293" s="1290"/>
      <c r="CU293" s="1290"/>
      <c r="CV293" s="1290"/>
      <c r="CW293" s="1290"/>
      <c r="CX293" s="1290"/>
      <c r="CY293" s="1290"/>
      <c r="CZ293" s="1290"/>
      <c r="DA293" s="1290"/>
      <c r="DB293" s="1290"/>
      <c r="DC293" s="1290"/>
      <c r="DD293" s="1290"/>
      <c r="DE293" s="1290"/>
      <c r="DF293" s="1290"/>
      <c r="DG293" s="1290"/>
      <c r="DH293" s="1290"/>
      <c r="DI293" s="1290"/>
      <c r="DJ293" s="1290"/>
      <c r="DK293" s="1290"/>
      <c r="DL293" s="1290"/>
      <c r="DM293" s="1290"/>
      <c r="DN293" s="1290"/>
      <c r="DO293" s="1290"/>
      <c r="DP293" s="1290"/>
      <c r="DQ293" s="1290"/>
      <c r="DR293" s="1290"/>
      <c r="DS293" s="1290"/>
      <c r="DT293" s="1290"/>
      <c r="DU293" s="1290"/>
      <c r="DV293" s="1290"/>
      <c r="DW293" s="1290"/>
      <c r="DX293" s="1290"/>
      <c r="DY293" s="1290"/>
      <c r="DZ293" s="1290"/>
      <c r="EA293" s="1290"/>
      <c r="EB293" s="1290"/>
      <c r="EC293" s="1290"/>
      <c r="ED293" s="1290"/>
      <c r="EE293" s="1290"/>
      <c r="EF293" s="1290"/>
      <c r="EG293" s="1290"/>
      <c r="EH293" s="1290"/>
      <c r="EI293" s="1290"/>
      <c r="EJ293" s="1290"/>
      <c r="EK293" s="1290"/>
      <c r="EL293" s="1290"/>
      <c r="EM293" s="1290"/>
      <c r="EN293" s="1290"/>
      <c r="EO293" s="1290"/>
      <c r="EP293" s="1290"/>
      <c r="EQ293" s="1290"/>
      <c r="ER293" s="1290"/>
      <c r="ES293" s="1290"/>
      <c r="ET293" s="1290"/>
      <c r="EU293" s="1290"/>
      <c r="EV293" s="1290"/>
      <c r="EW293" s="1290"/>
      <c r="EX293" s="1290"/>
      <c r="EY293" s="1290"/>
      <c r="EZ293" s="1290"/>
      <c r="FA293" s="1290"/>
      <c r="FB293" s="1290"/>
      <c r="FC293" s="1290"/>
      <c r="FD293" s="1290"/>
      <c r="FE293" s="1290"/>
      <c r="FF293" s="1290"/>
    </row>
    <row r="295" spans="6:162" s="1292" customFormat="1" ht="15.75" customHeight="1">
      <c r="F295" s="1290"/>
      <c r="G295" s="1290"/>
      <c r="H295" s="1290"/>
      <c r="I295" s="1290"/>
      <c r="J295" s="1290"/>
      <c r="K295" s="1290"/>
      <c r="L295" s="1290"/>
      <c r="M295" s="1290"/>
      <c r="N295" s="1290"/>
      <c r="O295" s="1290"/>
      <c r="P295" s="1290"/>
      <c r="Q295" s="1290"/>
      <c r="R295" s="1290"/>
      <c r="S295" s="1290"/>
      <c r="T295" s="1290"/>
      <c r="U295" s="1290"/>
      <c r="V295" s="1290"/>
      <c r="W295" s="1290"/>
      <c r="X295" s="1290"/>
      <c r="Y295" s="1290"/>
      <c r="AA295" s="1290"/>
      <c r="AC295" s="1290"/>
      <c r="AD295" s="1290"/>
      <c r="AE295" s="1290"/>
      <c r="AF295" s="1290"/>
      <c r="AG295" s="1290"/>
      <c r="AH295" s="1291"/>
      <c r="AI295" s="1291"/>
      <c r="AJ295" s="1290"/>
      <c r="AK295" s="1290"/>
      <c r="AL295" s="1290"/>
      <c r="AM295" s="1290"/>
      <c r="AN295" s="1290"/>
      <c r="AO295" s="1290"/>
      <c r="AP295" s="1290"/>
      <c r="AQ295" s="1290"/>
      <c r="AR295" s="1290"/>
      <c r="AS295" s="1290"/>
      <c r="AT295" s="1290"/>
      <c r="AU295" s="1290"/>
      <c r="AV295" s="1290"/>
      <c r="AW295" s="1290"/>
      <c r="AX295" s="1290"/>
      <c r="AY295" s="1290"/>
      <c r="AZ295" s="1290"/>
      <c r="BA295" s="1290"/>
      <c r="BB295" s="1290"/>
      <c r="BC295" s="1290"/>
      <c r="BD295" s="1290"/>
      <c r="BE295" s="1290"/>
      <c r="BF295" s="1290"/>
      <c r="BG295" s="1290"/>
      <c r="BH295" s="1290"/>
      <c r="BI295" s="1290"/>
      <c r="BJ295" s="1290"/>
      <c r="BK295" s="1290"/>
      <c r="BL295" s="1290"/>
      <c r="BM295" s="1290"/>
      <c r="BN295" s="1290"/>
      <c r="BO295" s="1290"/>
      <c r="BP295" s="1290"/>
      <c r="BQ295" s="1290"/>
      <c r="BR295" s="1290"/>
      <c r="BS295" s="1290"/>
      <c r="BT295" s="1290"/>
      <c r="BU295" s="1290"/>
      <c r="BV295" s="1290"/>
      <c r="BW295" s="1290"/>
      <c r="BX295" s="1290"/>
      <c r="BY295" s="1290"/>
      <c r="BZ295" s="1290"/>
      <c r="CA295" s="1290"/>
      <c r="CB295" s="1290"/>
      <c r="CC295" s="1290"/>
      <c r="CD295" s="1290"/>
      <c r="CE295" s="1290"/>
      <c r="CF295" s="1290"/>
      <c r="CG295" s="1290"/>
      <c r="CH295" s="1290"/>
      <c r="CI295" s="1290"/>
      <c r="CJ295" s="1290"/>
      <c r="CK295" s="1290"/>
      <c r="CL295" s="1290"/>
      <c r="CM295" s="1290"/>
      <c r="CN295" s="1290"/>
      <c r="CO295" s="1290"/>
      <c r="CP295" s="1290"/>
      <c r="CQ295" s="1290"/>
      <c r="CR295" s="1290"/>
      <c r="CS295" s="1290"/>
      <c r="CT295" s="1290"/>
      <c r="CU295" s="1290"/>
      <c r="CV295" s="1290"/>
      <c r="CW295" s="1290"/>
      <c r="CX295" s="1290"/>
      <c r="CY295" s="1290"/>
      <c r="CZ295" s="1290"/>
      <c r="DA295" s="1290"/>
      <c r="DB295" s="1290"/>
      <c r="DC295" s="1290"/>
      <c r="DD295" s="1290"/>
      <c r="DE295" s="1290"/>
      <c r="DF295" s="1290"/>
      <c r="DG295" s="1290"/>
      <c r="DH295" s="1290"/>
      <c r="DI295" s="1290"/>
      <c r="DJ295" s="1290"/>
      <c r="DK295" s="1290"/>
      <c r="DL295" s="1290"/>
      <c r="DM295" s="1290"/>
      <c r="DN295" s="1290"/>
      <c r="DO295" s="1290"/>
      <c r="DP295" s="1290"/>
      <c r="DQ295" s="1290"/>
      <c r="DR295" s="1290"/>
      <c r="DS295" s="1290"/>
      <c r="DT295" s="1290"/>
      <c r="DU295" s="1290"/>
      <c r="DV295" s="1290"/>
      <c r="DW295" s="1290"/>
      <c r="DX295" s="1290"/>
      <c r="DY295" s="1290"/>
      <c r="DZ295" s="1290"/>
      <c r="EA295" s="1290"/>
      <c r="EB295" s="1290"/>
      <c r="EC295" s="1290"/>
      <c r="ED295" s="1290"/>
      <c r="EE295" s="1290"/>
      <c r="EF295" s="1290"/>
      <c r="EG295" s="1290"/>
      <c r="EH295" s="1290"/>
      <c r="EI295" s="1290"/>
      <c r="EJ295" s="1290"/>
      <c r="EK295" s="1290"/>
      <c r="EL295" s="1290"/>
      <c r="EM295" s="1290"/>
      <c r="EN295" s="1290"/>
      <c r="EO295" s="1290"/>
      <c r="EP295" s="1290"/>
      <c r="EQ295" s="1290"/>
      <c r="ER295" s="1290"/>
      <c r="ES295" s="1290"/>
      <c r="ET295" s="1290"/>
      <c r="EU295" s="1290"/>
      <c r="EV295" s="1290"/>
      <c r="EW295" s="1290"/>
      <c r="EX295" s="1290"/>
      <c r="EY295" s="1290"/>
      <c r="EZ295" s="1290"/>
      <c r="FA295" s="1290"/>
      <c r="FB295" s="1290"/>
      <c r="FC295" s="1290"/>
      <c r="FD295" s="1290"/>
      <c r="FE295" s="1290"/>
      <c r="FF295" s="1290"/>
    </row>
    <row r="297" spans="6:162" s="1292" customFormat="1" ht="15.75" customHeight="1">
      <c r="F297" s="1290"/>
      <c r="G297" s="1290"/>
      <c r="H297" s="1290"/>
      <c r="I297" s="1290"/>
      <c r="J297" s="1290"/>
      <c r="K297" s="1290"/>
      <c r="L297" s="1290"/>
      <c r="M297" s="1290"/>
      <c r="N297" s="1290"/>
      <c r="O297" s="1290"/>
      <c r="P297" s="1290"/>
      <c r="Q297" s="1290"/>
      <c r="R297" s="1290"/>
      <c r="S297" s="1290"/>
      <c r="T297" s="1290"/>
      <c r="U297" s="1290"/>
      <c r="V297" s="1290"/>
      <c r="W297" s="1290"/>
      <c r="X297" s="1290"/>
      <c r="Y297" s="1290"/>
      <c r="AA297" s="1290"/>
      <c r="AC297" s="1290"/>
      <c r="AD297" s="1290"/>
      <c r="AE297" s="1290"/>
      <c r="AF297" s="1290"/>
      <c r="AG297" s="1290"/>
      <c r="AH297" s="1291"/>
      <c r="AI297" s="1291"/>
      <c r="AJ297" s="1290"/>
      <c r="AK297" s="1290"/>
      <c r="AL297" s="1290"/>
      <c r="AM297" s="1290"/>
      <c r="AN297" s="1290"/>
      <c r="AO297" s="1290"/>
      <c r="AP297" s="1290"/>
      <c r="AQ297" s="1290"/>
      <c r="AR297" s="1290"/>
      <c r="AS297" s="1290"/>
      <c r="AT297" s="1290"/>
      <c r="AU297" s="1290"/>
      <c r="AV297" s="1290"/>
      <c r="AW297" s="1290"/>
      <c r="AX297" s="1290"/>
      <c r="AY297" s="1290"/>
      <c r="AZ297" s="1290"/>
      <c r="BA297" s="1290"/>
      <c r="BB297" s="1290"/>
      <c r="BC297" s="1290"/>
      <c r="BD297" s="1290"/>
      <c r="BE297" s="1290"/>
      <c r="BF297" s="1290"/>
      <c r="BG297" s="1290"/>
      <c r="BH297" s="1290"/>
      <c r="BI297" s="1290"/>
      <c r="BJ297" s="1290"/>
      <c r="BK297" s="1290"/>
      <c r="BL297" s="1290"/>
      <c r="BM297" s="1290"/>
      <c r="BN297" s="1290"/>
      <c r="BO297" s="1290"/>
      <c r="BP297" s="1290"/>
      <c r="BQ297" s="1290"/>
      <c r="BR297" s="1290"/>
      <c r="BS297" s="1290"/>
      <c r="BT297" s="1290"/>
      <c r="BU297" s="1290"/>
      <c r="BV297" s="1290"/>
      <c r="BW297" s="1290"/>
      <c r="BX297" s="1290"/>
      <c r="BY297" s="1290"/>
      <c r="BZ297" s="1290"/>
      <c r="CA297" s="1290"/>
      <c r="CB297" s="1290"/>
      <c r="CC297" s="1290"/>
      <c r="CD297" s="1290"/>
      <c r="CE297" s="1290"/>
      <c r="CF297" s="1290"/>
      <c r="CG297" s="1290"/>
      <c r="CH297" s="1290"/>
      <c r="CI297" s="1290"/>
      <c r="CJ297" s="1290"/>
      <c r="CK297" s="1290"/>
      <c r="CL297" s="1290"/>
      <c r="CM297" s="1290"/>
      <c r="CN297" s="1290"/>
      <c r="CO297" s="1290"/>
      <c r="CP297" s="1290"/>
      <c r="CQ297" s="1290"/>
      <c r="CR297" s="1290"/>
      <c r="CS297" s="1290"/>
      <c r="CT297" s="1290"/>
      <c r="CU297" s="1290"/>
      <c r="CV297" s="1290"/>
      <c r="CW297" s="1290"/>
      <c r="CX297" s="1290"/>
      <c r="CY297" s="1290"/>
      <c r="CZ297" s="1290"/>
      <c r="DA297" s="1290"/>
      <c r="DB297" s="1290"/>
      <c r="DC297" s="1290"/>
      <c r="DD297" s="1290"/>
      <c r="DE297" s="1290"/>
      <c r="DF297" s="1290"/>
      <c r="DG297" s="1290"/>
      <c r="DH297" s="1290"/>
      <c r="DI297" s="1290"/>
      <c r="DJ297" s="1290"/>
      <c r="DK297" s="1290"/>
      <c r="DL297" s="1290"/>
      <c r="DM297" s="1290"/>
      <c r="DN297" s="1290"/>
      <c r="DO297" s="1290"/>
      <c r="DP297" s="1290"/>
      <c r="DQ297" s="1290"/>
      <c r="DR297" s="1290"/>
      <c r="DS297" s="1290"/>
      <c r="DT297" s="1290"/>
      <c r="DU297" s="1290"/>
      <c r="DV297" s="1290"/>
      <c r="DW297" s="1290"/>
      <c r="DX297" s="1290"/>
      <c r="DY297" s="1290"/>
      <c r="DZ297" s="1290"/>
      <c r="EA297" s="1290"/>
      <c r="EB297" s="1290"/>
      <c r="EC297" s="1290"/>
      <c r="ED297" s="1290"/>
      <c r="EE297" s="1290"/>
      <c r="EF297" s="1290"/>
      <c r="EG297" s="1290"/>
      <c r="EH297" s="1290"/>
      <c r="EI297" s="1290"/>
      <c r="EJ297" s="1290"/>
      <c r="EK297" s="1290"/>
      <c r="EL297" s="1290"/>
      <c r="EM297" s="1290"/>
      <c r="EN297" s="1290"/>
      <c r="EO297" s="1290"/>
      <c r="EP297" s="1290"/>
      <c r="EQ297" s="1290"/>
      <c r="ER297" s="1290"/>
      <c r="ES297" s="1290"/>
      <c r="ET297" s="1290"/>
      <c r="EU297" s="1290"/>
      <c r="EV297" s="1290"/>
      <c r="EW297" s="1290"/>
      <c r="EX297" s="1290"/>
      <c r="EY297" s="1290"/>
      <c r="EZ297" s="1290"/>
      <c r="FA297" s="1290"/>
      <c r="FB297" s="1290"/>
      <c r="FC297" s="1290"/>
      <c r="FD297" s="1290"/>
      <c r="FE297" s="1290"/>
      <c r="FF297" s="1290"/>
    </row>
    <row r="299" spans="6:162" s="1292" customFormat="1" ht="15.75" customHeight="1">
      <c r="F299" s="1290"/>
      <c r="G299" s="1290"/>
      <c r="H299" s="1290"/>
      <c r="I299" s="1290"/>
      <c r="J299" s="1290"/>
      <c r="K299" s="1290"/>
      <c r="L299" s="1290"/>
      <c r="M299" s="1290"/>
      <c r="N299" s="1290"/>
      <c r="O299" s="1290"/>
      <c r="P299" s="1290"/>
      <c r="Q299" s="1290"/>
      <c r="R299" s="1290"/>
      <c r="S299" s="1290"/>
      <c r="T299" s="1290"/>
      <c r="U299" s="1290"/>
      <c r="V299" s="1290"/>
      <c r="W299" s="1290"/>
      <c r="X299" s="1290"/>
      <c r="Y299" s="1290"/>
      <c r="AA299" s="1290"/>
      <c r="AC299" s="1290"/>
      <c r="AD299" s="1290"/>
      <c r="AE299" s="1290"/>
      <c r="AF299" s="1290"/>
      <c r="AG299" s="1290"/>
      <c r="AH299" s="1291"/>
      <c r="AI299" s="1291"/>
      <c r="AJ299" s="1290"/>
      <c r="AK299" s="1290"/>
      <c r="AL299" s="1290"/>
      <c r="AM299" s="1290"/>
      <c r="AN299" s="1290"/>
      <c r="AO299" s="1290"/>
      <c r="AP299" s="1290"/>
      <c r="AQ299" s="1290"/>
      <c r="AR299" s="1290"/>
      <c r="AS299" s="1290"/>
      <c r="AT299" s="1290"/>
      <c r="AU299" s="1290"/>
      <c r="AV299" s="1290"/>
      <c r="AW299" s="1290"/>
      <c r="AX299" s="1290"/>
      <c r="AY299" s="1290"/>
      <c r="AZ299" s="1290"/>
      <c r="BA299" s="1290"/>
      <c r="BB299" s="1290"/>
      <c r="BC299" s="1290"/>
      <c r="BD299" s="1290"/>
      <c r="BE299" s="1290"/>
      <c r="BF299" s="1290"/>
      <c r="BG299" s="1290"/>
      <c r="BH299" s="1290"/>
      <c r="BI299" s="1290"/>
      <c r="BJ299" s="1290"/>
      <c r="BK299" s="1290"/>
      <c r="BL299" s="1290"/>
      <c r="BM299" s="1290"/>
      <c r="BN299" s="1290"/>
      <c r="BO299" s="1290"/>
      <c r="BP299" s="1290"/>
      <c r="BQ299" s="1290"/>
      <c r="BR299" s="1290"/>
      <c r="BS299" s="1290"/>
      <c r="BT299" s="1290"/>
      <c r="BU299" s="1290"/>
      <c r="BV299" s="1290"/>
      <c r="BW299" s="1290"/>
      <c r="BX299" s="1290"/>
      <c r="BY299" s="1290"/>
      <c r="BZ299" s="1290"/>
      <c r="CA299" s="1290"/>
      <c r="CB299" s="1290"/>
      <c r="CC299" s="1290"/>
      <c r="CD299" s="1290"/>
      <c r="CE299" s="1290"/>
      <c r="CF299" s="1290"/>
      <c r="CG299" s="1290"/>
      <c r="CH299" s="1290"/>
      <c r="CI299" s="1290"/>
      <c r="CJ299" s="1290"/>
      <c r="CK299" s="1290"/>
      <c r="CL299" s="1290"/>
      <c r="CM299" s="1290"/>
      <c r="CN299" s="1290"/>
      <c r="CO299" s="1290"/>
      <c r="CP299" s="1290"/>
      <c r="CQ299" s="1290"/>
      <c r="CR299" s="1290"/>
      <c r="CS299" s="1290"/>
      <c r="CT299" s="1290"/>
      <c r="CU299" s="1290"/>
      <c r="CV299" s="1290"/>
      <c r="CW299" s="1290"/>
      <c r="CX299" s="1290"/>
      <c r="CY299" s="1290"/>
      <c r="CZ299" s="1290"/>
      <c r="DA299" s="1290"/>
      <c r="DB299" s="1290"/>
      <c r="DC299" s="1290"/>
      <c r="DD299" s="1290"/>
      <c r="DE299" s="1290"/>
      <c r="DF299" s="1290"/>
      <c r="DG299" s="1290"/>
      <c r="DH299" s="1290"/>
      <c r="DI299" s="1290"/>
      <c r="DJ299" s="1290"/>
      <c r="DK299" s="1290"/>
      <c r="DL299" s="1290"/>
      <c r="DM299" s="1290"/>
      <c r="DN299" s="1290"/>
      <c r="DO299" s="1290"/>
      <c r="DP299" s="1290"/>
      <c r="DQ299" s="1290"/>
      <c r="DR299" s="1290"/>
      <c r="DS299" s="1290"/>
      <c r="DT299" s="1290"/>
      <c r="DU299" s="1290"/>
      <c r="DV299" s="1290"/>
      <c r="DW299" s="1290"/>
      <c r="DX299" s="1290"/>
      <c r="DY299" s="1290"/>
      <c r="DZ299" s="1290"/>
      <c r="EA299" s="1290"/>
      <c r="EB299" s="1290"/>
      <c r="EC299" s="1290"/>
      <c r="ED299" s="1290"/>
      <c r="EE299" s="1290"/>
      <c r="EF299" s="1290"/>
      <c r="EG299" s="1290"/>
      <c r="EH299" s="1290"/>
      <c r="EI299" s="1290"/>
      <c r="EJ299" s="1290"/>
      <c r="EK299" s="1290"/>
      <c r="EL299" s="1290"/>
      <c r="EM299" s="1290"/>
      <c r="EN299" s="1290"/>
      <c r="EO299" s="1290"/>
      <c r="EP299" s="1290"/>
      <c r="EQ299" s="1290"/>
      <c r="ER299" s="1290"/>
      <c r="ES299" s="1290"/>
      <c r="ET299" s="1290"/>
      <c r="EU299" s="1290"/>
      <c r="EV299" s="1290"/>
      <c r="EW299" s="1290"/>
      <c r="EX299" s="1290"/>
      <c r="EY299" s="1290"/>
      <c r="EZ299" s="1290"/>
      <c r="FA299" s="1290"/>
      <c r="FB299" s="1290"/>
      <c r="FC299" s="1290"/>
      <c r="FD299" s="1290"/>
      <c r="FE299" s="1290"/>
      <c r="FF299" s="1290"/>
    </row>
    <row r="301" spans="6:162" s="1292" customFormat="1" ht="15.75" customHeight="1">
      <c r="F301" s="1290"/>
      <c r="G301" s="1290"/>
      <c r="H301" s="1290"/>
      <c r="I301" s="1290"/>
      <c r="J301" s="1290"/>
      <c r="K301" s="1290"/>
      <c r="L301" s="1290"/>
      <c r="M301" s="1290"/>
      <c r="N301" s="1290"/>
      <c r="O301" s="1290"/>
      <c r="P301" s="1290"/>
      <c r="Q301" s="1290"/>
      <c r="R301" s="1290"/>
      <c r="S301" s="1290"/>
      <c r="T301" s="1290"/>
      <c r="U301" s="1290"/>
      <c r="V301" s="1290"/>
      <c r="W301" s="1290"/>
      <c r="X301" s="1290"/>
      <c r="Y301" s="1290"/>
      <c r="AA301" s="1290"/>
      <c r="AC301" s="1290"/>
      <c r="AD301" s="1290"/>
      <c r="AE301" s="1290"/>
      <c r="AF301" s="1290"/>
      <c r="AG301" s="1290"/>
      <c r="AH301" s="1291"/>
      <c r="AI301" s="1291"/>
      <c r="AJ301" s="1290"/>
      <c r="AK301" s="1290"/>
      <c r="AL301" s="1290"/>
      <c r="AM301" s="1290"/>
      <c r="AN301" s="1290"/>
      <c r="AO301" s="1290"/>
      <c r="AP301" s="1290"/>
      <c r="AQ301" s="1290"/>
      <c r="AR301" s="1290"/>
      <c r="AS301" s="1290"/>
      <c r="AT301" s="1290"/>
      <c r="AU301" s="1290"/>
      <c r="AV301" s="1290"/>
      <c r="AW301" s="1290"/>
      <c r="AX301" s="1290"/>
      <c r="AY301" s="1290"/>
      <c r="AZ301" s="1290"/>
      <c r="BA301" s="1290"/>
      <c r="BB301" s="1290"/>
      <c r="BC301" s="1290"/>
      <c r="BD301" s="1290"/>
      <c r="BE301" s="1290"/>
      <c r="BF301" s="1290"/>
      <c r="BG301" s="1290"/>
      <c r="BH301" s="1290"/>
      <c r="BI301" s="1290"/>
      <c r="BJ301" s="1290"/>
      <c r="BK301" s="1290"/>
      <c r="BL301" s="1290"/>
      <c r="BM301" s="1290"/>
      <c r="BN301" s="1290"/>
      <c r="BO301" s="1290"/>
      <c r="BP301" s="1290"/>
      <c r="BQ301" s="1290"/>
      <c r="BR301" s="1290"/>
      <c r="BS301" s="1290"/>
      <c r="BT301" s="1290"/>
      <c r="BU301" s="1290"/>
      <c r="BV301" s="1290"/>
      <c r="BW301" s="1290"/>
      <c r="BX301" s="1290"/>
      <c r="BY301" s="1290"/>
      <c r="BZ301" s="1290"/>
      <c r="CA301" s="1290"/>
      <c r="CB301" s="1290"/>
      <c r="CC301" s="1290"/>
      <c r="CD301" s="1290"/>
      <c r="CE301" s="1290"/>
      <c r="CF301" s="1290"/>
      <c r="CG301" s="1290"/>
      <c r="CH301" s="1290"/>
      <c r="CI301" s="1290"/>
      <c r="CJ301" s="1290"/>
      <c r="CK301" s="1290"/>
      <c r="CL301" s="1290"/>
      <c r="CM301" s="1290"/>
      <c r="CN301" s="1290"/>
      <c r="CO301" s="1290"/>
      <c r="CP301" s="1290"/>
      <c r="CQ301" s="1290"/>
      <c r="CR301" s="1290"/>
      <c r="CS301" s="1290"/>
      <c r="CT301" s="1290"/>
      <c r="CU301" s="1290"/>
      <c r="CV301" s="1290"/>
      <c r="CW301" s="1290"/>
      <c r="CX301" s="1290"/>
      <c r="CY301" s="1290"/>
      <c r="CZ301" s="1290"/>
      <c r="DA301" s="1290"/>
      <c r="DB301" s="1290"/>
      <c r="DC301" s="1290"/>
      <c r="DD301" s="1290"/>
      <c r="DE301" s="1290"/>
      <c r="DF301" s="1290"/>
      <c r="DG301" s="1290"/>
      <c r="DH301" s="1290"/>
      <c r="DI301" s="1290"/>
      <c r="DJ301" s="1290"/>
      <c r="DK301" s="1290"/>
      <c r="DL301" s="1290"/>
      <c r="DM301" s="1290"/>
      <c r="DN301" s="1290"/>
      <c r="DO301" s="1290"/>
      <c r="DP301" s="1290"/>
      <c r="DQ301" s="1290"/>
      <c r="DR301" s="1290"/>
      <c r="DS301" s="1290"/>
      <c r="DT301" s="1290"/>
      <c r="DU301" s="1290"/>
      <c r="DV301" s="1290"/>
      <c r="DW301" s="1290"/>
      <c r="DX301" s="1290"/>
      <c r="DY301" s="1290"/>
      <c r="DZ301" s="1290"/>
      <c r="EA301" s="1290"/>
      <c r="EB301" s="1290"/>
      <c r="EC301" s="1290"/>
      <c r="ED301" s="1290"/>
      <c r="EE301" s="1290"/>
      <c r="EF301" s="1290"/>
      <c r="EG301" s="1290"/>
      <c r="EH301" s="1290"/>
      <c r="EI301" s="1290"/>
      <c r="EJ301" s="1290"/>
      <c r="EK301" s="1290"/>
      <c r="EL301" s="1290"/>
      <c r="EM301" s="1290"/>
      <c r="EN301" s="1290"/>
      <c r="EO301" s="1290"/>
      <c r="EP301" s="1290"/>
      <c r="EQ301" s="1290"/>
      <c r="ER301" s="1290"/>
      <c r="ES301" s="1290"/>
      <c r="ET301" s="1290"/>
      <c r="EU301" s="1290"/>
      <c r="EV301" s="1290"/>
      <c r="EW301" s="1290"/>
      <c r="EX301" s="1290"/>
      <c r="EY301" s="1290"/>
      <c r="EZ301" s="1290"/>
      <c r="FA301" s="1290"/>
      <c r="FB301" s="1290"/>
      <c r="FC301" s="1290"/>
      <c r="FD301" s="1290"/>
      <c r="FE301" s="1290"/>
      <c r="FF301" s="1290"/>
    </row>
    <row r="303" spans="6:162" s="1292" customFormat="1" ht="15.75" customHeight="1">
      <c r="F303" s="1290"/>
      <c r="G303" s="1290"/>
      <c r="H303" s="1290"/>
      <c r="I303" s="1290"/>
      <c r="J303" s="1290"/>
      <c r="K303" s="1290"/>
      <c r="L303" s="1290"/>
      <c r="M303" s="1290"/>
      <c r="N303" s="1290"/>
      <c r="O303" s="1290"/>
      <c r="P303" s="1290"/>
      <c r="Q303" s="1290"/>
      <c r="R303" s="1290"/>
      <c r="S303" s="1290"/>
      <c r="T303" s="1290"/>
      <c r="U303" s="1290"/>
      <c r="V303" s="1290"/>
      <c r="W303" s="1290"/>
      <c r="X303" s="1290"/>
      <c r="Y303" s="1290"/>
      <c r="AA303" s="1290"/>
      <c r="AC303" s="1290"/>
      <c r="AD303" s="1290"/>
      <c r="AE303" s="1290"/>
      <c r="AF303" s="1290"/>
      <c r="AG303" s="1290"/>
      <c r="AH303" s="1291"/>
      <c r="AI303" s="1291"/>
      <c r="AJ303" s="1290"/>
      <c r="AK303" s="1290"/>
      <c r="AL303" s="1290"/>
      <c r="AM303" s="1290"/>
      <c r="AN303" s="1290"/>
      <c r="AO303" s="1290"/>
      <c r="AP303" s="1290"/>
      <c r="AQ303" s="1290"/>
      <c r="AR303" s="1290"/>
      <c r="AS303" s="1290"/>
      <c r="AT303" s="1290"/>
      <c r="AU303" s="1290"/>
      <c r="AV303" s="1290"/>
      <c r="AW303" s="1290"/>
      <c r="AX303" s="1290"/>
      <c r="AY303" s="1290"/>
      <c r="AZ303" s="1290"/>
      <c r="BA303" s="1290"/>
      <c r="BB303" s="1290"/>
      <c r="BC303" s="1290"/>
      <c r="BD303" s="1290"/>
      <c r="BE303" s="1290"/>
      <c r="BF303" s="1290"/>
      <c r="BG303" s="1290"/>
      <c r="BH303" s="1290"/>
      <c r="BI303" s="1290"/>
      <c r="BJ303" s="1290"/>
      <c r="BK303" s="1290"/>
      <c r="BL303" s="1290"/>
      <c r="BM303" s="1290"/>
      <c r="BN303" s="1290"/>
      <c r="BO303" s="1290"/>
      <c r="BP303" s="1290"/>
      <c r="BQ303" s="1290"/>
      <c r="BR303" s="1290"/>
      <c r="BS303" s="1290"/>
      <c r="BT303" s="1290"/>
      <c r="BU303" s="1290"/>
      <c r="BV303" s="1290"/>
      <c r="BW303" s="1290"/>
      <c r="BX303" s="1290"/>
      <c r="BY303" s="1290"/>
      <c r="BZ303" s="1290"/>
      <c r="CA303" s="1290"/>
      <c r="CB303" s="1290"/>
      <c r="CC303" s="1290"/>
      <c r="CD303" s="1290"/>
      <c r="CE303" s="1290"/>
      <c r="CF303" s="1290"/>
      <c r="CG303" s="1290"/>
      <c r="CH303" s="1290"/>
      <c r="CI303" s="1290"/>
      <c r="CJ303" s="1290"/>
      <c r="CK303" s="1290"/>
      <c r="CL303" s="1290"/>
      <c r="CM303" s="1290"/>
      <c r="CN303" s="1290"/>
      <c r="CO303" s="1290"/>
      <c r="CP303" s="1290"/>
      <c r="CQ303" s="1290"/>
      <c r="CR303" s="1290"/>
      <c r="CS303" s="1290"/>
      <c r="CT303" s="1290"/>
      <c r="CU303" s="1290"/>
      <c r="CV303" s="1290"/>
      <c r="CW303" s="1290"/>
      <c r="CX303" s="1290"/>
      <c r="CY303" s="1290"/>
      <c r="CZ303" s="1290"/>
      <c r="DA303" s="1290"/>
      <c r="DB303" s="1290"/>
      <c r="DC303" s="1290"/>
      <c r="DD303" s="1290"/>
      <c r="DE303" s="1290"/>
      <c r="DF303" s="1290"/>
      <c r="DG303" s="1290"/>
      <c r="DH303" s="1290"/>
      <c r="DI303" s="1290"/>
      <c r="DJ303" s="1290"/>
      <c r="DK303" s="1290"/>
      <c r="DL303" s="1290"/>
      <c r="DM303" s="1290"/>
      <c r="DN303" s="1290"/>
      <c r="DO303" s="1290"/>
      <c r="DP303" s="1290"/>
      <c r="DQ303" s="1290"/>
      <c r="DR303" s="1290"/>
      <c r="DS303" s="1290"/>
      <c r="DT303" s="1290"/>
      <c r="DU303" s="1290"/>
      <c r="DV303" s="1290"/>
      <c r="DW303" s="1290"/>
      <c r="DX303" s="1290"/>
      <c r="DY303" s="1290"/>
      <c r="DZ303" s="1290"/>
      <c r="EA303" s="1290"/>
      <c r="EB303" s="1290"/>
      <c r="EC303" s="1290"/>
      <c r="ED303" s="1290"/>
      <c r="EE303" s="1290"/>
      <c r="EF303" s="1290"/>
      <c r="EG303" s="1290"/>
      <c r="EH303" s="1290"/>
      <c r="EI303" s="1290"/>
      <c r="EJ303" s="1290"/>
      <c r="EK303" s="1290"/>
      <c r="EL303" s="1290"/>
      <c r="EM303" s="1290"/>
      <c r="EN303" s="1290"/>
      <c r="EO303" s="1290"/>
      <c r="EP303" s="1290"/>
      <c r="EQ303" s="1290"/>
      <c r="ER303" s="1290"/>
      <c r="ES303" s="1290"/>
      <c r="ET303" s="1290"/>
      <c r="EU303" s="1290"/>
      <c r="EV303" s="1290"/>
      <c r="EW303" s="1290"/>
      <c r="EX303" s="1290"/>
      <c r="EY303" s="1290"/>
      <c r="EZ303" s="1290"/>
      <c r="FA303" s="1290"/>
      <c r="FB303" s="1290"/>
      <c r="FC303" s="1290"/>
      <c r="FD303" s="1290"/>
      <c r="FE303" s="1290"/>
      <c r="FF303" s="1290"/>
    </row>
    <row r="305" spans="6:162" s="1292" customFormat="1" ht="15.75" customHeight="1">
      <c r="F305" s="1290"/>
      <c r="G305" s="1290"/>
      <c r="H305" s="1290"/>
      <c r="I305" s="1290"/>
      <c r="J305" s="1290"/>
      <c r="K305" s="1290"/>
      <c r="L305" s="1290"/>
      <c r="M305" s="1290"/>
      <c r="N305" s="1290"/>
      <c r="O305" s="1290"/>
      <c r="P305" s="1290"/>
      <c r="Q305" s="1290"/>
      <c r="R305" s="1290"/>
      <c r="S305" s="1290"/>
      <c r="T305" s="1290"/>
      <c r="U305" s="1290"/>
      <c r="V305" s="1290"/>
      <c r="W305" s="1290"/>
      <c r="X305" s="1290"/>
      <c r="Y305" s="1290"/>
      <c r="AA305" s="1290"/>
      <c r="AC305" s="1290"/>
      <c r="AD305" s="1290"/>
      <c r="AE305" s="1290"/>
      <c r="AF305" s="1290"/>
      <c r="AG305" s="1290"/>
      <c r="AH305" s="1291"/>
      <c r="AI305" s="1291"/>
      <c r="AJ305" s="1290"/>
      <c r="AK305" s="1290"/>
      <c r="AL305" s="1290"/>
      <c r="AM305" s="1290"/>
      <c r="AN305" s="1290"/>
      <c r="AO305" s="1290"/>
      <c r="AP305" s="1290"/>
      <c r="AQ305" s="1290"/>
      <c r="AR305" s="1290"/>
      <c r="AS305" s="1290"/>
      <c r="AT305" s="1290"/>
      <c r="AU305" s="1290"/>
      <c r="AV305" s="1290"/>
      <c r="AW305" s="1290"/>
      <c r="AX305" s="1290"/>
      <c r="AY305" s="1290"/>
      <c r="AZ305" s="1290"/>
      <c r="BA305" s="1290"/>
      <c r="BB305" s="1290"/>
      <c r="BC305" s="1290"/>
      <c r="BD305" s="1290"/>
      <c r="BE305" s="1290"/>
      <c r="BF305" s="1290"/>
      <c r="BG305" s="1290"/>
      <c r="BH305" s="1290"/>
      <c r="BI305" s="1290"/>
      <c r="BJ305" s="1290"/>
      <c r="BK305" s="1290"/>
      <c r="BL305" s="1290"/>
      <c r="BM305" s="1290"/>
      <c r="BN305" s="1290"/>
      <c r="BO305" s="1290"/>
      <c r="BP305" s="1290"/>
      <c r="BQ305" s="1290"/>
      <c r="BR305" s="1290"/>
      <c r="BS305" s="1290"/>
      <c r="BT305" s="1290"/>
      <c r="BU305" s="1290"/>
      <c r="BV305" s="1290"/>
      <c r="BW305" s="1290"/>
      <c r="BX305" s="1290"/>
      <c r="BY305" s="1290"/>
      <c r="BZ305" s="1290"/>
      <c r="CA305" s="1290"/>
      <c r="CB305" s="1290"/>
      <c r="CC305" s="1290"/>
      <c r="CD305" s="1290"/>
      <c r="CE305" s="1290"/>
      <c r="CF305" s="1290"/>
      <c r="CG305" s="1290"/>
      <c r="CH305" s="1290"/>
      <c r="CI305" s="1290"/>
      <c r="CJ305" s="1290"/>
      <c r="CK305" s="1290"/>
      <c r="CL305" s="1290"/>
      <c r="CM305" s="1290"/>
      <c r="CN305" s="1290"/>
      <c r="CO305" s="1290"/>
      <c r="CP305" s="1290"/>
      <c r="CQ305" s="1290"/>
      <c r="CR305" s="1290"/>
      <c r="CS305" s="1290"/>
      <c r="CT305" s="1290"/>
      <c r="CU305" s="1290"/>
      <c r="CV305" s="1290"/>
      <c r="CW305" s="1290"/>
      <c r="CX305" s="1290"/>
      <c r="CY305" s="1290"/>
      <c r="CZ305" s="1290"/>
      <c r="DA305" s="1290"/>
      <c r="DB305" s="1290"/>
      <c r="DC305" s="1290"/>
      <c r="DD305" s="1290"/>
      <c r="DE305" s="1290"/>
      <c r="DF305" s="1290"/>
      <c r="DG305" s="1290"/>
      <c r="DH305" s="1290"/>
      <c r="DI305" s="1290"/>
      <c r="DJ305" s="1290"/>
      <c r="DK305" s="1290"/>
      <c r="DL305" s="1290"/>
      <c r="DM305" s="1290"/>
      <c r="DN305" s="1290"/>
      <c r="DO305" s="1290"/>
      <c r="DP305" s="1290"/>
      <c r="DQ305" s="1290"/>
      <c r="DR305" s="1290"/>
      <c r="DS305" s="1290"/>
      <c r="DT305" s="1290"/>
      <c r="DU305" s="1290"/>
      <c r="DV305" s="1290"/>
      <c r="DW305" s="1290"/>
      <c r="DX305" s="1290"/>
      <c r="DY305" s="1290"/>
      <c r="DZ305" s="1290"/>
      <c r="EA305" s="1290"/>
      <c r="EB305" s="1290"/>
      <c r="EC305" s="1290"/>
      <c r="ED305" s="1290"/>
      <c r="EE305" s="1290"/>
      <c r="EF305" s="1290"/>
      <c r="EG305" s="1290"/>
      <c r="EH305" s="1290"/>
      <c r="EI305" s="1290"/>
      <c r="EJ305" s="1290"/>
      <c r="EK305" s="1290"/>
      <c r="EL305" s="1290"/>
      <c r="EM305" s="1290"/>
      <c r="EN305" s="1290"/>
      <c r="EO305" s="1290"/>
      <c r="EP305" s="1290"/>
      <c r="EQ305" s="1290"/>
      <c r="ER305" s="1290"/>
      <c r="ES305" s="1290"/>
      <c r="ET305" s="1290"/>
      <c r="EU305" s="1290"/>
      <c r="EV305" s="1290"/>
      <c r="EW305" s="1290"/>
      <c r="EX305" s="1290"/>
      <c r="EY305" s="1290"/>
      <c r="EZ305" s="1290"/>
      <c r="FA305" s="1290"/>
      <c r="FB305" s="1290"/>
      <c r="FC305" s="1290"/>
      <c r="FD305" s="1290"/>
      <c r="FE305" s="1290"/>
      <c r="FF305" s="1290"/>
    </row>
    <row r="307" spans="6:162" s="1292" customFormat="1" ht="15.75" customHeight="1">
      <c r="F307" s="1290"/>
      <c r="G307" s="1290"/>
      <c r="H307" s="1290"/>
      <c r="I307" s="1290"/>
      <c r="J307" s="1290"/>
      <c r="K307" s="1290"/>
      <c r="L307" s="1290"/>
      <c r="M307" s="1290"/>
      <c r="N307" s="1290"/>
      <c r="O307" s="1290"/>
      <c r="P307" s="1290"/>
      <c r="Q307" s="1290"/>
      <c r="R307" s="1290"/>
      <c r="S307" s="1290"/>
      <c r="T307" s="1290"/>
      <c r="U307" s="1290"/>
      <c r="V307" s="1290"/>
      <c r="W307" s="1290"/>
      <c r="X307" s="1290"/>
      <c r="Y307" s="1290"/>
      <c r="AA307" s="1290"/>
      <c r="AC307" s="1290"/>
      <c r="AD307" s="1290"/>
      <c r="AE307" s="1290"/>
      <c r="AF307" s="1290"/>
      <c r="AG307" s="1290"/>
      <c r="AH307" s="1291"/>
      <c r="AI307" s="1291"/>
      <c r="AJ307" s="1290"/>
      <c r="AK307" s="1290"/>
      <c r="AL307" s="1290"/>
      <c r="AM307" s="1290"/>
      <c r="AN307" s="1290"/>
      <c r="AO307" s="1290"/>
      <c r="AP307" s="1290"/>
      <c r="AQ307" s="1290"/>
      <c r="AR307" s="1290"/>
      <c r="AS307" s="1290"/>
      <c r="AT307" s="1290"/>
      <c r="AU307" s="1290"/>
      <c r="AV307" s="1290"/>
      <c r="AW307" s="1290"/>
      <c r="AX307" s="1290"/>
      <c r="AY307" s="1290"/>
      <c r="AZ307" s="1290"/>
      <c r="BA307" s="1290"/>
      <c r="BB307" s="1290"/>
      <c r="BC307" s="1290"/>
      <c r="BD307" s="1290"/>
      <c r="BE307" s="1290"/>
      <c r="BF307" s="1290"/>
      <c r="BG307" s="1290"/>
      <c r="BH307" s="1290"/>
      <c r="BI307" s="1290"/>
      <c r="BJ307" s="1290"/>
      <c r="BK307" s="1290"/>
      <c r="BL307" s="1290"/>
      <c r="BM307" s="1290"/>
      <c r="BN307" s="1290"/>
      <c r="BO307" s="1290"/>
      <c r="BP307" s="1290"/>
      <c r="BQ307" s="1290"/>
      <c r="BR307" s="1290"/>
      <c r="BS307" s="1290"/>
      <c r="BT307" s="1290"/>
      <c r="BU307" s="1290"/>
      <c r="BV307" s="1290"/>
      <c r="BW307" s="1290"/>
      <c r="BX307" s="1290"/>
      <c r="BY307" s="1290"/>
      <c r="BZ307" s="1290"/>
      <c r="CA307" s="1290"/>
      <c r="CB307" s="1290"/>
      <c r="CC307" s="1290"/>
      <c r="CD307" s="1290"/>
      <c r="CE307" s="1290"/>
      <c r="CF307" s="1290"/>
      <c r="CG307" s="1290"/>
      <c r="CH307" s="1290"/>
      <c r="CI307" s="1290"/>
      <c r="CJ307" s="1290"/>
      <c r="CK307" s="1290"/>
      <c r="CL307" s="1290"/>
      <c r="CM307" s="1290"/>
      <c r="CN307" s="1290"/>
      <c r="CO307" s="1290"/>
      <c r="CP307" s="1290"/>
      <c r="CQ307" s="1290"/>
      <c r="CR307" s="1290"/>
      <c r="CS307" s="1290"/>
      <c r="CT307" s="1290"/>
      <c r="CU307" s="1290"/>
      <c r="CV307" s="1290"/>
      <c r="CW307" s="1290"/>
      <c r="CX307" s="1290"/>
      <c r="CY307" s="1290"/>
      <c r="CZ307" s="1290"/>
      <c r="DA307" s="1290"/>
      <c r="DB307" s="1290"/>
      <c r="DC307" s="1290"/>
      <c r="DD307" s="1290"/>
      <c r="DE307" s="1290"/>
      <c r="DF307" s="1290"/>
      <c r="DG307" s="1290"/>
      <c r="DH307" s="1290"/>
      <c r="DI307" s="1290"/>
      <c r="DJ307" s="1290"/>
      <c r="DK307" s="1290"/>
      <c r="DL307" s="1290"/>
      <c r="DM307" s="1290"/>
      <c r="DN307" s="1290"/>
      <c r="DO307" s="1290"/>
      <c r="DP307" s="1290"/>
      <c r="DQ307" s="1290"/>
      <c r="DR307" s="1290"/>
      <c r="DS307" s="1290"/>
      <c r="DT307" s="1290"/>
      <c r="DU307" s="1290"/>
      <c r="DV307" s="1290"/>
      <c r="DW307" s="1290"/>
      <c r="DX307" s="1290"/>
      <c r="DY307" s="1290"/>
      <c r="DZ307" s="1290"/>
      <c r="EA307" s="1290"/>
      <c r="EB307" s="1290"/>
      <c r="EC307" s="1290"/>
      <c r="ED307" s="1290"/>
      <c r="EE307" s="1290"/>
      <c r="EF307" s="1290"/>
      <c r="EG307" s="1290"/>
      <c r="EH307" s="1290"/>
      <c r="EI307" s="1290"/>
      <c r="EJ307" s="1290"/>
      <c r="EK307" s="1290"/>
      <c r="EL307" s="1290"/>
      <c r="EM307" s="1290"/>
      <c r="EN307" s="1290"/>
      <c r="EO307" s="1290"/>
      <c r="EP307" s="1290"/>
      <c r="EQ307" s="1290"/>
      <c r="ER307" s="1290"/>
      <c r="ES307" s="1290"/>
      <c r="ET307" s="1290"/>
      <c r="EU307" s="1290"/>
      <c r="EV307" s="1290"/>
      <c r="EW307" s="1290"/>
      <c r="EX307" s="1290"/>
      <c r="EY307" s="1290"/>
      <c r="EZ307" s="1290"/>
      <c r="FA307" s="1290"/>
      <c r="FB307" s="1290"/>
      <c r="FC307" s="1290"/>
      <c r="FD307" s="1290"/>
      <c r="FE307" s="1290"/>
      <c r="FF307" s="1290"/>
    </row>
    <row r="309" spans="6:162" s="1292" customFormat="1" ht="15.75" customHeight="1">
      <c r="F309" s="1290"/>
      <c r="G309" s="1290"/>
      <c r="H309" s="1290"/>
      <c r="I309" s="1290"/>
      <c r="J309" s="1290"/>
      <c r="K309" s="1290"/>
      <c r="L309" s="1290"/>
      <c r="M309" s="1290"/>
      <c r="N309" s="1290"/>
      <c r="O309" s="1290"/>
      <c r="P309" s="1290"/>
      <c r="Q309" s="1290"/>
      <c r="R309" s="1290"/>
      <c r="S309" s="1290"/>
      <c r="T309" s="1290"/>
      <c r="U309" s="1290"/>
      <c r="V309" s="1290"/>
      <c r="W309" s="1290"/>
      <c r="X309" s="1290"/>
      <c r="Y309" s="1290"/>
      <c r="AA309" s="1290"/>
      <c r="AC309" s="1290"/>
      <c r="AD309" s="1290"/>
      <c r="AE309" s="1290"/>
      <c r="AF309" s="1290"/>
      <c r="AG309" s="1290"/>
      <c r="AH309" s="1291"/>
      <c r="AI309" s="1291"/>
      <c r="AJ309" s="1290"/>
      <c r="AK309" s="1290"/>
      <c r="AL309" s="1290"/>
      <c r="AM309" s="1290"/>
      <c r="AN309" s="1290"/>
      <c r="AO309" s="1290"/>
      <c r="AP309" s="1290"/>
      <c r="AQ309" s="1290"/>
      <c r="AR309" s="1290"/>
      <c r="AS309" s="1290"/>
      <c r="AT309" s="1290"/>
      <c r="AU309" s="1290"/>
      <c r="AV309" s="1290"/>
      <c r="AW309" s="1290"/>
      <c r="AX309" s="1290"/>
      <c r="AY309" s="1290"/>
      <c r="AZ309" s="1290"/>
      <c r="BA309" s="1290"/>
      <c r="BB309" s="1290"/>
      <c r="BC309" s="1290"/>
      <c r="BD309" s="1290"/>
      <c r="BE309" s="1290"/>
      <c r="BF309" s="1290"/>
      <c r="BG309" s="1290"/>
      <c r="BH309" s="1290"/>
      <c r="BI309" s="1290"/>
      <c r="BJ309" s="1290"/>
      <c r="BK309" s="1290"/>
      <c r="BL309" s="1290"/>
      <c r="BM309" s="1290"/>
      <c r="BN309" s="1290"/>
      <c r="BO309" s="1290"/>
      <c r="BP309" s="1290"/>
      <c r="BQ309" s="1290"/>
      <c r="BR309" s="1290"/>
      <c r="BS309" s="1290"/>
      <c r="BT309" s="1290"/>
      <c r="BU309" s="1290"/>
      <c r="BV309" s="1290"/>
      <c r="BW309" s="1290"/>
      <c r="BX309" s="1290"/>
      <c r="BY309" s="1290"/>
      <c r="BZ309" s="1290"/>
      <c r="CA309" s="1290"/>
      <c r="CB309" s="1290"/>
      <c r="CC309" s="1290"/>
      <c r="CD309" s="1290"/>
      <c r="CE309" s="1290"/>
      <c r="CF309" s="1290"/>
      <c r="CG309" s="1290"/>
      <c r="CH309" s="1290"/>
      <c r="CI309" s="1290"/>
      <c r="CJ309" s="1290"/>
      <c r="CK309" s="1290"/>
      <c r="CL309" s="1290"/>
      <c r="CM309" s="1290"/>
      <c r="CN309" s="1290"/>
      <c r="CO309" s="1290"/>
      <c r="CP309" s="1290"/>
      <c r="CQ309" s="1290"/>
      <c r="CR309" s="1290"/>
      <c r="CS309" s="1290"/>
      <c r="CT309" s="1290"/>
      <c r="CU309" s="1290"/>
      <c r="CV309" s="1290"/>
      <c r="CW309" s="1290"/>
      <c r="CX309" s="1290"/>
      <c r="CY309" s="1290"/>
      <c r="CZ309" s="1290"/>
      <c r="DA309" s="1290"/>
      <c r="DB309" s="1290"/>
      <c r="DC309" s="1290"/>
      <c r="DD309" s="1290"/>
      <c r="DE309" s="1290"/>
      <c r="DF309" s="1290"/>
      <c r="DG309" s="1290"/>
      <c r="DH309" s="1290"/>
      <c r="DI309" s="1290"/>
      <c r="DJ309" s="1290"/>
      <c r="DK309" s="1290"/>
      <c r="DL309" s="1290"/>
      <c r="DM309" s="1290"/>
      <c r="DN309" s="1290"/>
      <c r="DO309" s="1290"/>
      <c r="DP309" s="1290"/>
      <c r="DQ309" s="1290"/>
      <c r="DR309" s="1290"/>
      <c r="DS309" s="1290"/>
      <c r="DT309" s="1290"/>
      <c r="DU309" s="1290"/>
      <c r="DV309" s="1290"/>
      <c r="DW309" s="1290"/>
      <c r="DX309" s="1290"/>
      <c r="DY309" s="1290"/>
      <c r="DZ309" s="1290"/>
      <c r="EA309" s="1290"/>
      <c r="EB309" s="1290"/>
      <c r="EC309" s="1290"/>
      <c r="ED309" s="1290"/>
      <c r="EE309" s="1290"/>
      <c r="EF309" s="1290"/>
      <c r="EG309" s="1290"/>
      <c r="EH309" s="1290"/>
      <c r="EI309" s="1290"/>
      <c r="EJ309" s="1290"/>
      <c r="EK309" s="1290"/>
      <c r="EL309" s="1290"/>
      <c r="EM309" s="1290"/>
      <c r="EN309" s="1290"/>
      <c r="EO309" s="1290"/>
      <c r="EP309" s="1290"/>
      <c r="EQ309" s="1290"/>
      <c r="ER309" s="1290"/>
      <c r="ES309" s="1290"/>
      <c r="ET309" s="1290"/>
      <c r="EU309" s="1290"/>
      <c r="EV309" s="1290"/>
      <c r="EW309" s="1290"/>
      <c r="EX309" s="1290"/>
      <c r="EY309" s="1290"/>
      <c r="EZ309" s="1290"/>
      <c r="FA309" s="1290"/>
      <c r="FB309" s="1290"/>
      <c r="FC309" s="1290"/>
      <c r="FD309" s="1290"/>
      <c r="FE309" s="1290"/>
      <c r="FF309" s="1290"/>
    </row>
    <row r="311" spans="6:162" s="1292" customFormat="1" ht="15.75" customHeight="1">
      <c r="F311" s="1290"/>
      <c r="G311" s="1290"/>
      <c r="H311" s="1290"/>
      <c r="I311" s="1290"/>
      <c r="J311" s="1290"/>
      <c r="K311" s="1290"/>
      <c r="L311" s="1290"/>
      <c r="M311" s="1290"/>
      <c r="N311" s="1290"/>
      <c r="O311" s="1290"/>
      <c r="P311" s="1290"/>
      <c r="Q311" s="1290"/>
      <c r="R311" s="1290"/>
      <c r="S311" s="1290"/>
      <c r="T311" s="1290"/>
      <c r="U311" s="1290"/>
      <c r="V311" s="1290"/>
      <c r="W311" s="1290"/>
      <c r="X311" s="1290"/>
      <c r="Y311" s="1290"/>
      <c r="AA311" s="1290"/>
      <c r="AC311" s="1290"/>
      <c r="AD311" s="1290"/>
      <c r="AE311" s="1290"/>
      <c r="AF311" s="1290"/>
      <c r="AG311" s="1290"/>
      <c r="AH311" s="1291"/>
      <c r="AI311" s="1291"/>
      <c r="AJ311" s="1290"/>
      <c r="AK311" s="1290"/>
      <c r="AL311" s="1290"/>
      <c r="AM311" s="1290"/>
      <c r="AN311" s="1290"/>
      <c r="AO311" s="1290"/>
      <c r="AP311" s="1290"/>
      <c r="AQ311" s="1290"/>
      <c r="AR311" s="1290"/>
      <c r="AS311" s="1290"/>
      <c r="AT311" s="1290"/>
      <c r="AU311" s="1290"/>
      <c r="AV311" s="1290"/>
      <c r="AW311" s="1290"/>
      <c r="AX311" s="1290"/>
      <c r="AY311" s="1290"/>
      <c r="AZ311" s="1290"/>
      <c r="BA311" s="1290"/>
      <c r="BB311" s="1290"/>
      <c r="BC311" s="1290"/>
      <c r="BD311" s="1290"/>
      <c r="BE311" s="1290"/>
      <c r="BF311" s="1290"/>
      <c r="BG311" s="1290"/>
      <c r="BH311" s="1290"/>
      <c r="BI311" s="1290"/>
      <c r="BJ311" s="1290"/>
      <c r="BK311" s="1290"/>
      <c r="BL311" s="1290"/>
      <c r="BM311" s="1290"/>
      <c r="BN311" s="1290"/>
      <c r="BO311" s="1290"/>
      <c r="BP311" s="1290"/>
      <c r="BQ311" s="1290"/>
      <c r="BR311" s="1290"/>
      <c r="BS311" s="1290"/>
      <c r="BT311" s="1290"/>
      <c r="BU311" s="1290"/>
      <c r="BV311" s="1290"/>
      <c r="BW311" s="1290"/>
      <c r="BX311" s="1290"/>
      <c r="BY311" s="1290"/>
      <c r="BZ311" s="1290"/>
      <c r="CA311" s="1290"/>
      <c r="CB311" s="1290"/>
      <c r="CC311" s="1290"/>
      <c r="CD311" s="1290"/>
      <c r="CE311" s="1290"/>
      <c r="CF311" s="1290"/>
      <c r="CG311" s="1290"/>
      <c r="CH311" s="1290"/>
      <c r="CI311" s="1290"/>
      <c r="CJ311" s="1290"/>
      <c r="CK311" s="1290"/>
      <c r="CL311" s="1290"/>
      <c r="CM311" s="1290"/>
      <c r="CN311" s="1290"/>
      <c r="CO311" s="1290"/>
      <c r="CP311" s="1290"/>
      <c r="CQ311" s="1290"/>
      <c r="CR311" s="1290"/>
      <c r="CS311" s="1290"/>
      <c r="CT311" s="1290"/>
      <c r="CU311" s="1290"/>
      <c r="CV311" s="1290"/>
      <c r="CW311" s="1290"/>
      <c r="CX311" s="1290"/>
      <c r="CY311" s="1290"/>
      <c r="CZ311" s="1290"/>
      <c r="DA311" s="1290"/>
      <c r="DB311" s="1290"/>
      <c r="DC311" s="1290"/>
      <c r="DD311" s="1290"/>
      <c r="DE311" s="1290"/>
      <c r="DF311" s="1290"/>
      <c r="DG311" s="1290"/>
      <c r="DH311" s="1290"/>
      <c r="DI311" s="1290"/>
      <c r="DJ311" s="1290"/>
      <c r="DK311" s="1290"/>
      <c r="DL311" s="1290"/>
      <c r="DM311" s="1290"/>
      <c r="DN311" s="1290"/>
      <c r="DO311" s="1290"/>
      <c r="DP311" s="1290"/>
      <c r="DQ311" s="1290"/>
      <c r="DR311" s="1290"/>
      <c r="DS311" s="1290"/>
      <c r="DT311" s="1290"/>
      <c r="DU311" s="1290"/>
      <c r="DV311" s="1290"/>
      <c r="DW311" s="1290"/>
      <c r="DX311" s="1290"/>
      <c r="DY311" s="1290"/>
      <c r="DZ311" s="1290"/>
      <c r="EA311" s="1290"/>
      <c r="EB311" s="1290"/>
      <c r="EC311" s="1290"/>
      <c r="ED311" s="1290"/>
      <c r="EE311" s="1290"/>
      <c r="EF311" s="1290"/>
      <c r="EG311" s="1290"/>
      <c r="EH311" s="1290"/>
      <c r="EI311" s="1290"/>
      <c r="EJ311" s="1290"/>
      <c r="EK311" s="1290"/>
      <c r="EL311" s="1290"/>
      <c r="EM311" s="1290"/>
      <c r="EN311" s="1290"/>
      <c r="EO311" s="1290"/>
      <c r="EP311" s="1290"/>
      <c r="EQ311" s="1290"/>
      <c r="ER311" s="1290"/>
      <c r="ES311" s="1290"/>
      <c r="ET311" s="1290"/>
      <c r="EU311" s="1290"/>
      <c r="EV311" s="1290"/>
      <c r="EW311" s="1290"/>
      <c r="EX311" s="1290"/>
      <c r="EY311" s="1290"/>
      <c r="EZ311" s="1290"/>
      <c r="FA311" s="1290"/>
      <c r="FB311" s="1290"/>
      <c r="FC311" s="1290"/>
      <c r="FD311" s="1290"/>
      <c r="FE311" s="1290"/>
      <c r="FF311" s="1290"/>
    </row>
    <row r="313" spans="6:162" s="1292" customFormat="1" ht="15.75" customHeight="1">
      <c r="F313" s="1290"/>
      <c r="G313" s="1290"/>
      <c r="H313" s="1290"/>
      <c r="I313" s="1290"/>
      <c r="J313" s="1290"/>
      <c r="K313" s="1290"/>
      <c r="L313" s="1290"/>
      <c r="M313" s="1290"/>
      <c r="N313" s="1290"/>
      <c r="O313" s="1290"/>
      <c r="P313" s="1290"/>
      <c r="Q313" s="1290"/>
      <c r="R313" s="1290"/>
      <c r="S313" s="1290"/>
      <c r="T313" s="1290"/>
      <c r="U313" s="1290"/>
      <c r="V313" s="1290"/>
      <c r="W313" s="1290"/>
      <c r="X313" s="1290"/>
      <c r="Y313" s="1290"/>
      <c r="AA313" s="1290"/>
      <c r="AC313" s="1290"/>
      <c r="AD313" s="1290"/>
      <c r="AE313" s="1290"/>
      <c r="AF313" s="1290"/>
      <c r="AG313" s="1290"/>
      <c r="AH313" s="1291"/>
      <c r="AI313" s="1291"/>
      <c r="AJ313" s="1290"/>
      <c r="AK313" s="1290"/>
      <c r="AL313" s="1290"/>
      <c r="AM313" s="1290"/>
      <c r="AN313" s="1290"/>
      <c r="AO313" s="1290"/>
      <c r="AP313" s="1290"/>
      <c r="AQ313" s="1290"/>
      <c r="AR313" s="1290"/>
      <c r="AS313" s="1290"/>
      <c r="AT313" s="1290"/>
      <c r="AU313" s="1290"/>
      <c r="AV313" s="1290"/>
      <c r="AW313" s="1290"/>
      <c r="AX313" s="1290"/>
      <c r="AY313" s="1290"/>
      <c r="AZ313" s="1290"/>
      <c r="BA313" s="1290"/>
      <c r="BB313" s="1290"/>
      <c r="BC313" s="1290"/>
      <c r="BD313" s="1290"/>
      <c r="BE313" s="1290"/>
      <c r="BF313" s="1290"/>
      <c r="BG313" s="1290"/>
      <c r="BH313" s="1290"/>
      <c r="BI313" s="1290"/>
      <c r="BJ313" s="1290"/>
      <c r="BK313" s="1290"/>
      <c r="BL313" s="1290"/>
      <c r="BM313" s="1290"/>
      <c r="BN313" s="1290"/>
      <c r="BO313" s="1290"/>
      <c r="BP313" s="1290"/>
      <c r="BQ313" s="1290"/>
      <c r="BR313" s="1290"/>
      <c r="BS313" s="1290"/>
      <c r="BT313" s="1290"/>
      <c r="BU313" s="1290"/>
      <c r="BV313" s="1290"/>
      <c r="BW313" s="1290"/>
      <c r="BX313" s="1290"/>
      <c r="BY313" s="1290"/>
      <c r="BZ313" s="1290"/>
      <c r="CA313" s="1290"/>
      <c r="CB313" s="1290"/>
      <c r="CC313" s="1290"/>
      <c r="CD313" s="1290"/>
      <c r="CE313" s="1290"/>
      <c r="CF313" s="1290"/>
      <c r="CG313" s="1290"/>
      <c r="CH313" s="1290"/>
      <c r="CI313" s="1290"/>
      <c r="CJ313" s="1290"/>
      <c r="CK313" s="1290"/>
      <c r="CL313" s="1290"/>
      <c r="CM313" s="1290"/>
      <c r="CN313" s="1290"/>
      <c r="CO313" s="1290"/>
      <c r="CP313" s="1290"/>
      <c r="CQ313" s="1290"/>
      <c r="CR313" s="1290"/>
      <c r="CS313" s="1290"/>
      <c r="CT313" s="1290"/>
      <c r="CU313" s="1290"/>
      <c r="CV313" s="1290"/>
      <c r="CW313" s="1290"/>
      <c r="CX313" s="1290"/>
      <c r="CY313" s="1290"/>
      <c r="CZ313" s="1290"/>
      <c r="DA313" s="1290"/>
      <c r="DB313" s="1290"/>
      <c r="DC313" s="1290"/>
      <c r="DD313" s="1290"/>
      <c r="DE313" s="1290"/>
      <c r="DF313" s="1290"/>
      <c r="DG313" s="1290"/>
      <c r="DH313" s="1290"/>
      <c r="DI313" s="1290"/>
      <c r="DJ313" s="1290"/>
      <c r="DK313" s="1290"/>
      <c r="DL313" s="1290"/>
      <c r="DM313" s="1290"/>
      <c r="DN313" s="1290"/>
      <c r="DO313" s="1290"/>
      <c r="DP313" s="1290"/>
      <c r="DQ313" s="1290"/>
      <c r="DR313" s="1290"/>
      <c r="DS313" s="1290"/>
      <c r="DT313" s="1290"/>
      <c r="DU313" s="1290"/>
      <c r="DV313" s="1290"/>
      <c r="DW313" s="1290"/>
      <c r="DX313" s="1290"/>
      <c r="DY313" s="1290"/>
      <c r="DZ313" s="1290"/>
      <c r="EA313" s="1290"/>
      <c r="EB313" s="1290"/>
      <c r="EC313" s="1290"/>
      <c r="ED313" s="1290"/>
      <c r="EE313" s="1290"/>
      <c r="EF313" s="1290"/>
      <c r="EG313" s="1290"/>
      <c r="EH313" s="1290"/>
      <c r="EI313" s="1290"/>
      <c r="EJ313" s="1290"/>
      <c r="EK313" s="1290"/>
      <c r="EL313" s="1290"/>
      <c r="EM313" s="1290"/>
      <c r="EN313" s="1290"/>
      <c r="EO313" s="1290"/>
      <c r="EP313" s="1290"/>
      <c r="EQ313" s="1290"/>
      <c r="ER313" s="1290"/>
      <c r="ES313" s="1290"/>
      <c r="ET313" s="1290"/>
      <c r="EU313" s="1290"/>
      <c r="EV313" s="1290"/>
      <c r="EW313" s="1290"/>
      <c r="EX313" s="1290"/>
      <c r="EY313" s="1290"/>
      <c r="EZ313" s="1290"/>
      <c r="FA313" s="1290"/>
      <c r="FB313" s="1290"/>
      <c r="FC313" s="1290"/>
      <c r="FD313" s="1290"/>
      <c r="FE313" s="1290"/>
      <c r="FF313" s="1290"/>
    </row>
    <row r="315" spans="6:162" s="1292" customFormat="1" ht="15.75" customHeight="1">
      <c r="F315" s="1290"/>
      <c r="G315" s="1290"/>
      <c r="H315" s="1290"/>
      <c r="I315" s="1290"/>
      <c r="J315" s="1290"/>
      <c r="K315" s="1290"/>
      <c r="L315" s="1290"/>
      <c r="M315" s="1290"/>
      <c r="N315" s="1290"/>
      <c r="O315" s="1290"/>
      <c r="P315" s="1290"/>
      <c r="Q315" s="1290"/>
      <c r="R315" s="1290"/>
      <c r="S315" s="1290"/>
      <c r="T315" s="1290"/>
      <c r="U315" s="1290"/>
      <c r="V315" s="1290"/>
      <c r="W315" s="1290"/>
      <c r="X315" s="1290"/>
      <c r="Y315" s="1290"/>
      <c r="AA315" s="1290"/>
      <c r="AC315" s="1290"/>
      <c r="AD315" s="1290"/>
      <c r="AE315" s="1290"/>
      <c r="AF315" s="1290"/>
      <c r="AG315" s="1290"/>
      <c r="AH315" s="1291"/>
      <c r="AI315" s="1291"/>
      <c r="AJ315" s="1290"/>
      <c r="AK315" s="1290"/>
      <c r="AL315" s="1290"/>
      <c r="AM315" s="1290"/>
      <c r="AN315" s="1290"/>
      <c r="AO315" s="1290"/>
      <c r="AP315" s="1290"/>
      <c r="AQ315" s="1290"/>
      <c r="AR315" s="1290"/>
      <c r="AS315" s="1290"/>
      <c r="AT315" s="1290"/>
      <c r="AU315" s="1290"/>
      <c r="AV315" s="1290"/>
      <c r="AW315" s="1290"/>
      <c r="AX315" s="1290"/>
      <c r="AY315" s="1290"/>
      <c r="AZ315" s="1290"/>
      <c r="BA315" s="1290"/>
      <c r="BB315" s="1290"/>
      <c r="BC315" s="1290"/>
      <c r="BD315" s="1290"/>
      <c r="BE315" s="1290"/>
      <c r="BF315" s="1290"/>
      <c r="BG315" s="1290"/>
      <c r="BH315" s="1290"/>
      <c r="BI315" s="1290"/>
      <c r="BJ315" s="1290"/>
      <c r="BK315" s="1290"/>
      <c r="BL315" s="1290"/>
      <c r="BM315" s="1290"/>
      <c r="BN315" s="1290"/>
      <c r="BO315" s="1290"/>
      <c r="BP315" s="1290"/>
      <c r="BQ315" s="1290"/>
      <c r="BR315" s="1290"/>
      <c r="BS315" s="1290"/>
      <c r="BT315" s="1290"/>
      <c r="BU315" s="1290"/>
      <c r="BV315" s="1290"/>
      <c r="BW315" s="1290"/>
      <c r="BX315" s="1290"/>
      <c r="BY315" s="1290"/>
      <c r="BZ315" s="1290"/>
      <c r="CA315" s="1290"/>
      <c r="CB315" s="1290"/>
      <c r="CC315" s="1290"/>
      <c r="CD315" s="1290"/>
      <c r="CE315" s="1290"/>
      <c r="CF315" s="1290"/>
      <c r="CG315" s="1290"/>
      <c r="CH315" s="1290"/>
      <c r="CI315" s="1290"/>
      <c r="CJ315" s="1290"/>
      <c r="CK315" s="1290"/>
      <c r="CL315" s="1290"/>
      <c r="CM315" s="1290"/>
      <c r="CN315" s="1290"/>
      <c r="CO315" s="1290"/>
      <c r="CP315" s="1290"/>
      <c r="CQ315" s="1290"/>
      <c r="CR315" s="1290"/>
      <c r="CS315" s="1290"/>
      <c r="CT315" s="1290"/>
      <c r="CU315" s="1290"/>
      <c r="CV315" s="1290"/>
      <c r="CW315" s="1290"/>
      <c r="CX315" s="1290"/>
      <c r="CY315" s="1290"/>
      <c r="CZ315" s="1290"/>
      <c r="DA315" s="1290"/>
      <c r="DB315" s="1290"/>
      <c r="DC315" s="1290"/>
      <c r="DD315" s="1290"/>
      <c r="DE315" s="1290"/>
      <c r="DF315" s="1290"/>
      <c r="DG315" s="1290"/>
      <c r="DH315" s="1290"/>
      <c r="DI315" s="1290"/>
      <c r="DJ315" s="1290"/>
      <c r="DK315" s="1290"/>
      <c r="DL315" s="1290"/>
      <c r="DM315" s="1290"/>
      <c r="DN315" s="1290"/>
      <c r="DO315" s="1290"/>
      <c r="DP315" s="1290"/>
      <c r="DQ315" s="1290"/>
      <c r="DR315" s="1290"/>
      <c r="DS315" s="1290"/>
      <c r="DT315" s="1290"/>
      <c r="DU315" s="1290"/>
      <c r="DV315" s="1290"/>
      <c r="DW315" s="1290"/>
      <c r="DX315" s="1290"/>
      <c r="DY315" s="1290"/>
      <c r="DZ315" s="1290"/>
      <c r="EA315" s="1290"/>
      <c r="EB315" s="1290"/>
      <c r="EC315" s="1290"/>
      <c r="ED315" s="1290"/>
      <c r="EE315" s="1290"/>
      <c r="EF315" s="1290"/>
      <c r="EG315" s="1290"/>
      <c r="EH315" s="1290"/>
      <c r="EI315" s="1290"/>
      <c r="EJ315" s="1290"/>
      <c r="EK315" s="1290"/>
      <c r="EL315" s="1290"/>
      <c r="EM315" s="1290"/>
      <c r="EN315" s="1290"/>
      <c r="EO315" s="1290"/>
      <c r="EP315" s="1290"/>
      <c r="EQ315" s="1290"/>
      <c r="ER315" s="1290"/>
      <c r="ES315" s="1290"/>
      <c r="ET315" s="1290"/>
      <c r="EU315" s="1290"/>
      <c r="EV315" s="1290"/>
      <c r="EW315" s="1290"/>
      <c r="EX315" s="1290"/>
      <c r="EY315" s="1290"/>
      <c r="EZ315" s="1290"/>
      <c r="FA315" s="1290"/>
      <c r="FB315" s="1290"/>
      <c r="FC315" s="1290"/>
      <c r="FD315" s="1290"/>
      <c r="FE315" s="1290"/>
      <c r="FF315" s="1290"/>
    </row>
    <row r="317" spans="6:162" s="1292" customFormat="1" ht="15.75" customHeight="1">
      <c r="F317" s="1290"/>
      <c r="G317" s="1290"/>
      <c r="H317" s="1290"/>
      <c r="I317" s="1290"/>
      <c r="J317" s="1290"/>
      <c r="K317" s="1290"/>
      <c r="L317" s="1290"/>
      <c r="M317" s="1290"/>
      <c r="N317" s="1290"/>
      <c r="O317" s="1290"/>
      <c r="P317" s="1290"/>
      <c r="Q317" s="1290"/>
      <c r="R317" s="1290"/>
      <c r="S317" s="1290"/>
      <c r="T317" s="1290"/>
      <c r="U317" s="1290"/>
      <c r="V317" s="1290"/>
      <c r="W317" s="1290"/>
      <c r="X317" s="1290"/>
      <c r="Y317" s="1290"/>
      <c r="AA317" s="1290"/>
      <c r="AC317" s="1290"/>
      <c r="AD317" s="1290"/>
      <c r="AE317" s="1290"/>
      <c r="AF317" s="1290"/>
      <c r="AG317" s="1290"/>
      <c r="AH317" s="1291"/>
      <c r="AI317" s="1291"/>
      <c r="AJ317" s="1290"/>
      <c r="AK317" s="1290"/>
      <c r="AL317" s="1290"/>
      <c r="AM317" s="1290"/>
      <c r="AN317" s="1290"/>
      <c r="AO317" s="1290"/>
      <c r="AP317" s="1290"/>
      <c r="AQ317" s="1290"/>
      <c r="AR317" s="1290"/>
      <c r="AS317" s="1290"/>
      <c r="AT317" s="1290"/>
      <c r="AU317" s="1290"/>
      <c r="AV317" s="1290"/>
      <c r="AW317" s="1290"/>
      <c r="AX317" s="1290"/>
      <c r="AY317" s="1290"/>
      <c r="AZ317" s="1290"/>
      <c r="BA317" s="1290"/>
      <c r="BB317" s="1290"/>
      <c r="BC317" s="1290"/>
      <c r="BD317" s="1290"/>
      <c r="BE317" s="1290"/>
      <c r="BF317" s="1290"/>
      <c r="BG317" s="1290"/>
      <c r="BH317" s="1290"/>
      <c r="BI317" s="1290"/>
      <c r="BJ317" s="1290"/>
      <c r="BK317" s="1290"/>
      <c r="BL317" s="1290"/>
      <c r="BM317" s="1290"/>
      <c r="BN317" s="1290"/>
      <c r="BO317" s="1290"/>
      <c r="BP317" s="1290"/>
      <c r="BQ317" s="1290"/>
      <c r="BR317" s="1290"/>
      <c r="BS317" s="1290"/>
      <c r="BT317" s="1290"/>
      <c r="BU317" s="1290"/>
      <c r="BV317" s="1290"/>
      <c r="BW317" s="1290"/>
      <c r="BX317" s="1290"/>
      <c r="BY317" s="1290"/>
      <c r="BZ317" s="1290"/>
      <c r="CA317" s="1290"/>
      <c r="CB317" s="1290"/>
      <c r="CC317" s="1290"/>
      <c r="CD317" s="1290"/>
      <c r="CE317" s="1290"/>
      <c r="CF317" s="1290"/>
      <c r="CG317" s="1290"/>
      <c r="CH317" s="1290"/>
      <c r="CI317" s="1290"/>
      <c r="CJ317" s="1290"/>
      <c r="CK317" s="1290"/>
      <c r="CL317" s="1290"/>
      <c r="CM317" s="1290"/>
      <c r="CN317" s="1290"/>
      <c r="CO317" s="1290"/>
      <c r="CP317" s="1290"/>
      <c r="CQ317" s="1290"/>
      <c r="CR317" s="1290"/>
      <c r="CS317" s="1290"/>
      <c r="CT317" s="1290"/>
      <c r="CU317" s="1290"/>
      <c r="CV317" s="1290"/>
      <c r="CW317" s="1290"/>
      <c r="CX317" s="1290"/>
      <c r="CY317" s="1290"/>
      <c r="CZ317" s="1290"/>
      <c r="DA317" s="1290"/>
      <c r="DB317" s="1290"/>
      <c r="DC317" s="1290"/>
      <c r="DD317" s="1290"/>
      <c r="DE317" s="1290"/>
      <c r="DF317" s="1290"/>
      <c r="DG317" s="1290"/>
      <c r="DH317" s="1290"/>
      <c r="DI317" s="1290"/>
      <c r="DJ317" s="1290"/>
      <c r="DK317" s="1290"/>
      <c r="DL317" s="1290"/>
      <c r="DM317" s="1290"/>
      <c r="DN317" s="1290"/>
      <c r="DO317" s="1290"/>
      <c r="DP317" s="1290"/>
      <c r="DQ317" s="1290"/>
      <c r="DR317" s="1290"/>
      <c r="DS317" s="1290"/>
      <c r="DT317" s="1290"/>
      <c r="DU317" s="1290"/>
      <c r="DV317" s="1290"/>
      <c r="DW317" s="1290"/>
      <c r="DX317" s="1290"/>
      <c r="DY317" s="1290"/>
      <c r="DZ317" s="1290"/>
      <c r="EA317" s="1290"/>
      <c r="EB317" s="1290"/>
      <c r="EC317" s="1290"/>
      <c r="ED317" s="1290"/>
      <c r="EE317" s="1290"/>
      <c r="EF317" s="1290"/>
      <c r="EG317" s="1290"/>
      <c r="EH317" s="1290"/>
      <c r="EI317" s="1290"/>
      <c r="EJ317" s="1290"/>
      <c r="EK317" s="1290"/>
      <c r="EL317" s="1290"/>
      <c r="EM317" s="1290"/>
      <c r="EN317" s="1290"/>
      <c r="EO317" s="1290"/>
      <c r="EP317" s="1290"/>
      <c r="EQ317" s="1290"/>
      <c r="ER317" s="1290"/>
      <c r="ES317" s="1290"/>
      <c r="ET317" s="1290"/>
      <c r="EU317" s="1290"/>
      <c r="EV317" s="1290"/>
      <c r="EW317" s="1290"/>
      <c r="EX317" s="1290"/>
      <c r="EY317" s="1290"/>
      <c r="EZ317" s="1290"/>
      <c r="FA317" s="1290"/>
      <c r="FB317" s="1290"/>
      <c r="FC317" s="1290"/>
      <c r="FD317" s="1290"/>
      <c r="FE317" s="1290"/>
      <c r="FF317" s="1290"/>
    </row>
    <row r="319" spans="6:162" s="1292" customFormat="1" ht="15.75" customHeight="1">
      <c r="F319" s="1290"/>
      <c r="G319" s="1290"/>
      <c r="H319" s="1290"/>
      <c r="I319" s="1290"/>
      <c r="J319" s="1290"/>
      <c r="K319" s="1290"/>
      <c r="L319" s="1290"/>
      <c r="M319" s="1290"/>
      <c r="N319" s="1290"/>
      <c r="O319" s="1290"/>
      <c r="P319" s="1290"/>
      <c r="Q319" s="1290"/>
      <c r="R319" s="1290"/>
      <c r="S319" s="1290"/>
      <c r="T319" s="1290"/>
      <c r="U319" s="1290"/>
      <c r="V319" s="1290"/>
      <c r="W319" s="1290"/>
      <c r="X319" s="1290"/>
      <c r="Y319" s="1290"/>
      <c r="AA319" s="1290"/>
      <c r="AC319" s="1290"/>
      <c r="AD319" s="1290"/>
      <c r="AE319" s="1290"/>
      <c r="AF319" s="1290"/>
      <c r="AG319" s="1290"/>
      <c r="AH319" s="1291"/>
      <c r="AI319" s="1291"/>
      <c r="AJ319" s="1290"/>
      <c r="AK319" s="1290"/>
      <c r="AL319" s="1290"/>
      <c r="AM319" s="1290"/>
      <c r="AN319" s="1290"/>
      <c r="AO319" s="1290"/>
      <c r="AP319" s="1290"/>
      <c r="AQ319" s="1290"/>
      <c r="AR319" s="1290"/>
      <c r="AS319" s="1290"/>
      <c r="AT319" s="1290"/>
      <c r="AU319" s="1290"/>
      <c r="AV319" s="1290"/>
      <c r="AW319" s="1290"/>
      <c r="AX319" s="1290"/>
      <c r="AY319" s="1290"/>
      <c r="AZ319" s="1290"/>
      <c r="BA319" s="1290"/>
      <c r="BB319" s="1290"/>
      <c r="BC319" s="1290"/>
      <c r="BD319" s="1290"/>
      <c r="BE319" s="1290"/>
      <c r="BF319" s="1290"/>
      <c r="BG319" s="1290"/>
      <c r="BH319" s="1290"/>
      <c r="BI319" s="1290"/>
      <c r="BJ319" s="1290"/>
      <c r="BK319" s="1290"/>
      <c r="BL319" s="1290"/>
      <c r="BM319" s="1290"/>
      <c r="BN319" s="1290"/>
      <c r="BO319" s="1290"/>
      <c r="BP319" s="1290"/>
      <c r="BQ319" s="1290"/>
      <c r="BR319" s="1290"/>
      <c r="BS319" s="1290"/>
      <c r="BT319" s="1290"/>
      <c r="BU319" s="1290"/>
      <c r="BV319" s="1290"/>
      <c r="BW319" s="1290"/>
      <c r="BX319" s="1290"/>
      <c r="BY319" s="1290"/>
      <c r="BZ319" s="1290"/>
      <c r="CA319" s="1290"/>
      <c r="CB319" s="1290"/>
      <c r="CC319" s="1290"/>
      <c r="CD319" s="1290"/>
      <c r="CE319" s="1290"/>
      <c r="CF319" s="1290"/>
      <c r="CG319" s="1290"/>
      <c r="CH319" s="1290"/>
      <c r="CI319" s="1290"/>
      <c r="CJ319" s="1290"/>
      <c r="CK319" s="1290"/>
      <c r="CL319" s="1290"/>
      <c r="CM319" s="1290"/>
      <c r="CN319" s="1290"/>
      <c r="CO319" s="1290"/>
      <c r="CP319" s="1290"/>
      <c r="CQ319" s="1290"/>
      <c r="CR319" s="1290"/>
      <c r="CS319" s="1290"/>
      <c r="CT319" s="1290"/>
      <c r="CU319" s="1290"/>
      <c r="CV319" s="1290"/>
      <c r="CW319" s="1290"/>
      <c r="CX319" s="1290"/>
      <c r="CY319" s="1290"/>
      <c r="CZ319" s="1290"/>
      <c r="DA319" s="1290"/>
      <c r="DB319" s="1290"/>
      <c r="DC319" s="1290"/>
      <c r="DD319" s="1290"/>
      <c r="DE319" s="1290"/>
      <c r="DF319" s="1290"/>
      <c r="DG319" s="1290"/>
      <c r="DH319" s="1290"/>
      <c r="DI319" s="1290"/>
      <c r="DJ319" s="1290"/>
      <c r="DK319" s="1290"/>
      <c r="DL319" s="1290"/>
      <c r="DM319" s="1290"/>
      <c r="DN319" s="1290"/>
      <c r="DO319" s="1290"/>
      <c r="DP319" s="1290"/>
      <c r="DQ319" s="1290"/>
      <c r="DR319" s="1290"/>
      <c r="DS319" s="1290"/>
      <c r="DT319" s="1290"/>
      <c r="DU319" s="1290"/>
      <c r="DV319" s="1290"/>
      <c r="DW319" s="1290"/>
      <c r="DX319" s="1290"/>
      <c r="DY319" s="1290"/>
      <c r="DZ319" s="1290"/>
      <c r="EA319" s="1290"/>
      <c r="EB319" s="1290"/>
      <c r="EC319" s="1290"/>
      <c r="ED319" s="1290"/>
      <c r="EE319" s="1290"/>
      <c r="EF319" s="1290"/>
      <c r="EG319" s="1290"/>
      <c r="EH319" s="1290"/>
      <c r="EI319" s="1290"/>
      <c r="EJ319" s="1290"/>
      <c r="EK319" s="1290"/>
      <c r="EL319" s="1290"/>
      <c r="EM319" s="1290"/>
      <c r="EN319" s="1290"/>
      <c r="EO319" s="1290"/>
      <c r="EP319" s="1290"/>
      <c r="EQ319" s="1290"/>
      <c r="ER319" s="1290"/>
      <c r="ES319" s="1290"/>
      <c r="ET319" s="1290"/>
      <c r="EU319" s="1290"/>
      <c r="EV319" s="1290"/>
      <c r="EW319" s="1290"/>
      <c r="EX319" s="1290"/>
      <c r="EY319" s="1290"/>
      <c r="EZ319" s="1290"/>
      <c r="FA319" s="1290"/>
      <c r="FB319" s="1290"/>
      <c r="FC319" s="1290"/>
      <c r="FD319" s="1290"/>
      <c r="FE319" s="1290"/>
      <c r="FF319" s="1290"/>
    </row>
    <row r="321" spans="6:162" s="1292" customFormat="1" ht="15.75" customHeight="1">
      <c r="F321" s="1290"/>
      <c r="G321" s="1290"/>
      <c r="H321" s="1290"/>
      <c r="I321" s="1290"/>
      <c r="J321" s="1290"/>
      <c r="K321" s="1290"/>
      <c r="L321" s="1290"/>
      <c r="M321" s="1290"/>
      <c r="N321" s="1290"/>
      <c r="O321" s="1290"/>
      <c r="P321" s="1290"/>
      <c r="Q321" s="1290"/>
      <c r="R321" s="1290"/>
      <c r="S321" s="1290"/>
      <c r="T321" s="1290"/>
      <c r="U321" s="1290"/>
      <c r="V321" s="1290"/>
      <c r="W321" s="1290"/>
      <c r="X321" s="1290"/>
      <c r="Y321" s="1290"/>
      <c r="AA321" s="1290"/>
      <c r="AC321" s="1290"/>
      <c r="AD321" s="1290"/>
      <c r="AE321" s="1290"/>
      <c r="AF321" s="1290"/>
      <c r="AG321" s="1290"/>
      <c r="AH321" s="1291"/>
      <c r="AI321" s="1291"/>
      <c r="AJ321" s="1290"/>
      <c r="AK321" s="1290"/>
      <c r="AL321" s="1290"/>
      <c r="AM321" s="1290"/>
      <c r="AN321" s="1290"/>
      <c r="AO321" s="1290"/>
      <c r="AP321" s="1290"/>
      <c r="AQ321" s="1290"/>
      <c r="AR321" s="1290"/>
      <c r="AS321" s="1290"/>
      <c r="AT321" s="1290"/>
      <c r="AU321" s="1290"/>
      <c r="AV321" s="1290"/>
      <c r="AW321" s="1290"/>
      <c r="AX321" s="1290"/>
      <c r="AY321" s="1290"/>
      <c r="AZ321" s="1290"/>
      <c r="BA321" s="1290"/>
      <c r="BB321" s="1290"/>
      <c r="BC321" s="1290"/>
      <c r="BD321" s="1290"/>
      <c r="BE321" s="1290"/>
      <c r="BF321" s="1290"/>
      <c r="BG321" s="1290"/>
      <c r="BH321" s="1290"/>
      <c r="BI321" s="1290"/>
      <c r="BJ321" s="1290"/>
      <c r="BK321" s="1290"/>
      <c r="BL321" s="1290"/>
      <c r="BM321" s="1290"/>
      <c r="BN321" s="1290"/>
      <c r="BO321" s="1290"/>
      <c r="BP321" s="1290"/>
      <c r="BQ321" s="1290"/>
      <c r="BR321" s="1290"/>
      <c r="BS321" s="1290"/>
      <c r="BT321" s="1290"/>
      <c r="BU321" s="1290"/>
      <c r="BV321" s="1290"/>
      <c r="BW321" s="1290"/>
      <c r="BX321" s="1290"/>
      <c r="BY321" s="1290"/>
      <c r="BZ321" s="1290"/>
      <c r="CA321" s="1290"/>
      <c r="CB321" s="1290"/>
      <c r="CC321" s="1290"/>
      <c r="CD321" s="1290"/>
      <c r="CE321" s="1290"/>
      <c r="CF321" s="1290"/>
      <c r="CG321" s="1290"/>
      <c r="CH321" s="1290"/>
      <c r="CI321" s="1290"/>
      <c r="CJ321" s="1290"/>
      <c r="CK321" s="1290"/>
      <c r="CL321" s="1290"/>
      <c r="CM321" s="1290"/>
      <c r="CN321" s="1290"/>
      <c r="CO321" s="1290"/>
      <c r="CP321" s="1290"/>
      <c r="CQ321" s="1290"/>
      <c r="CR321" s="1290"/>
      <c r="CS321" s="1290"/>
      <c r="CT321" s="1290"/>
      <c r="CU321" s="1290"/>
      <c r="CV321" s="1290"/>
      <c r="CW321" s="1290"/>
      <c r="CX321" s="1290"/>
      <c r="CY321" s="1290"/>
      <c r="CZ321" s="1290"/>
      <c r="DA321" s="1290"/>
      <c r="DB321" s="1290"/>
      <c r="DC321" s="1290"/>
      <c r="DD321" s="1290"/>
      <c r="DE321" s="1290"/>
      <c r="DF321" s="1290"/>
      <c r="DG321" s="1290"/>
      <c r="DH321" s="1290"/>
      <c r="DI321" s="1290"/>
      <c r="DJ321" s="1290"/>
      <c r="DK321" s="1290"/>
      <c r="DL321" s="1290"/>
      <c r="DM321" s="1290"/>
      <c r="DN321" s="1290"/>
      <c r="DO321" s="1290"/>
      <c r="DP321" s="1290"/>
      <c r="DQ321" s="1290"/>
      <c r="DR321" s="1290"/>
      <c r="DS321" s="1290"/>
      <c r="DT321" s="1290"/>
      <c r="DU321" s="1290"/>
      <c r="DV321" s="1290"/>
      <c r="DW321" s="1290"/>
      <c r="DX321" s="1290"/>
      <c r="DY321" s="1290"/>
      <c r="DZ321" s="1290"/>
      <c r="EA321" s="1290"/>
      <c r="EB321" s="1290"/>
      <c r="EC321" s="1290"/>
      <c r="ED321" s="1290"/>
      <c r="EE321" s="1290"/>
      <c r="EF321" s="1290"/>
      <c r="EG321" s="1290"/>
      <c r="EH321" s="1290"/>
      <c r="EI321" s="1290"/>
      <c r="EJ321" s="1290"/>
      <c r="EK321" s="1290"/>
      <c r="EL321" s="1290"/>
      <c r="EM321" s="1290"/>
      <c r="EN321" s="1290"/>
      <c r="EO321" s="1290"/>
      <c r="EP321" s="1290"/>
      <c r="EQ321" s="1290"/>
      <c r="ER321" s="1290"/>
      <c r="ES321" s="1290"/>
      <c r="ET321" s="1290"/>
      <c r="EU321" s="1290"/>
      <c r="EV321" s="1290"/>
      <c r="EW321" s="1290"/>
      <c r="EX321" s="1290"/>
      <c r="EY321" s="1290"/>
      <c r="EZ321" s="1290"/>
      <c r="FA321" s="1290"/>
      <c r="FB321" s="1290"/>
      <c r="FC321" s="1290"/>
      <c r="FD321" s="1290"/>
      <c r="FE321" s="1290"/>
      <c r="FF321" s="1290"/>
    </row>
    <row r="323" spans="6:162" s="1292" customFormat="1" ht="15.75" customHeight="1">
      <c r="F323" s="1290"/>
      <c r="G323" s="1290"/>
      <c r="H323" s="1290"/>
      <c r="I323" s="1290"/>
      <c r="J323" s="1290"/>
      <c r="K323" s="1290"/>
      <c r="L323" s="1290"/>
      <c r="M323" s="1290"/>
      <c r="N323" s="1290"/>
      <c r="O323" s="1290"/>
      <c r="P323" s="1290"/>
      <c r="Q323" s="1290"/>
      <c r="R323" s="1290"/>
      <c r="S323" s="1290"/>
      <c r="T323" s="1290"/>
      <c r="U323" s="1290"/>
      <c r="V323" s="1290"/>
      <c r="W323" s="1290"/>
      <c r="X323" s="1290"/>
      <c r="Y323" s="1290"/>
      <c r="AA323" s="1290"/>
      <c r="AC323" s="1290"/>
      <c r="AD323" s="1290"/>
      <c r="AE323" s="1290"/>
      <c r="AF323" s="1290"/>
      <c r="AG323" s="1290"/>
      <c r="AH323" s="1291"/>
      <c r="AI323" s="1291"/>
      <c r="AJ323" s="1290"/>
      <c r="AK323" s="1290"/>
      <c r="AL323" s="1290"/>
      <c r="AM323" s="1290"/>
      <c r="AN323" s="1290"/>
      <c r="AO323" s="1290"/>
      <c r="AP323" s="1290"/>
      <c r="AQ323" s="1290"/>
      <c r="AR323" s="1290"/>
      <c r="AS323" s="1290"/>
      <c r="AT323" s="1290"/>
      <c r="AU323" s="1290"/>
      <c r="AV323" s="1290"/>
      <c r="AW323" s="1290"/>
      <c r="AX323" s="1290"/>
      <c r="AY323" s="1290"/>
      <c r="AZ323" s="1290"/>
      <c r="BA323" s="1290"/>
      <c r="BB323" s="1290"/>
      <c r="BC323" s="1290"/>
      <c r="BD323" s="1290"/>
      <c r="BE323" s="1290"/>
      <c r="BF323" s="1290"/>
      <c r="BG323" s="1290"/>
      <c r="BH323" s="1290"/>
      <c r="BI323" s="1290"/>
      <c r="BJ323" s="1290"/>
      <c r="BK323" s="1290"/>
      <c r="BL323" s="1290"/>
      <c r="BM323" s="1290"/>
      <c r="BN323" s="1290"/>
      <c r="BO323" s="1290"/>
      <c r="BP323" s="1290"/>
      <c r="BQ323" s="1290"/>
      <c r="BR323" s="1290"/>
      <c r="BS323" s="1290"/>
      <c r="BT323" s="1290"/>
      <c r="BU323" s="1290"/>
      <c r="BV323" s="1290"/>
      <c r="BW323" s="1290"/>
      <c r="BX323" s="1290"/>
      <c r="BY323" s="1290"/>
      <c r="BZ323" s="1290"/>
      <c r="CA323" s="1290"/>
      <c r="CB323" s="1290"/>
      <c r="CC323" s="1290"/>
      <c r="CD323" s="1290"/>
      <c r="CE323" s="1290"/>
      <c r="CF323" s="1290"/>
      <c r="CG323" s="1290"/>
      <c r="CH323" s="1290"/>
      <c r="CI323" s="1290"/>
      <c r="CJ323" s="1290"/>
      <c r="CK323" s="1290"/>
      <c r="CL323" s="1290"/>
      <c r="CM323" s="1290"/>
      <c r="CN323" s="1290"/>
      <c r="CO323" s="1290"/>
      <c r="CP323" s="1290"/>
      <c r="CQ323" s="1290"/>
      <c r="CR323" s="1290"/>
      <c r="CS323" s="1290"/>
      <c r="CT323" s="1290"/>
      <c r="CU323" s="1290"/>
      <c r="CV323" s="1290"/>
      <c r="CW323" s="1290"/>
      <c r="CX323" s="1290"/>
      <c r="CY323" s="1290"/>
      <c r="CZ323" s="1290"/>
      <c r="DA323" s="1290"/>
      <c r="DB323" s="1290"/>
      <c r="DC323" s="1290"/>
      <c r="DD323" s="1290"/>
      <c r="DE323" s="1290"/>
      <c r="DF323" s="1290"/>
      <c r="DG323" s="1290"/>
      <c r="DH323" s="1290"/>
      <c r="DI323" s="1290"/>
      <c r="DJ323" s="1290"/>
      <c r="DK323" s="1290"/>
      <c r="DL323" s="1290"/>
      <c r="DM323" s="1290"/>
      <c r="DN323" s="1290"/>
      <c r="DO323" s="1290"/>
      <c r="DP323" s="1290"/>
      <c r="DQ323" s="1290"/>
      <c r="DR323" s="1290"/>
      <c r="DS323" s="1290"/>
      <c r="DT323" s="1290"/>
      <c r="DU323" s="1290"/>
      <c r="DV323" s="1290"/>
      <c r="DW323" s="1290"/>
      <c r="DX323" s="1290"/>
      <c r="DY323" s="1290"/>
      <c r="DZ323" s="1290"/>
      <c r="EA323" s="1290"/>
      <c r="EB323" s="1290"/>
      <c r="EC323" s="1290"/>
      <c r="ED323" s="1290"/>
      <c r="EE323" s="1290"/>
      <c r="EF323" s="1290"/>
      <c r="EG323" s="1290"/>
      <c r="EH323" s="1290"/>
      <c r="EI323" s="1290"/>
      <c r="EJ323" s="1290"/>
      <c r="EK323" s="1290"/>
      <c r="EL323" s="1290"/>
      <c r="EM323" s="1290"/>
      <c r="EN323" s="1290"/>
      <c r="EO323" s="1290"/>
      <c r="EP323" s="1290"/>
      <c r="EQ323" s="1290"/>
      <c r="ER323" s="1290"/>
      <c r="ES323" s="1290"/>
      <c r="ET323" s="1290"/>
      <c r="EU323" s="1290"/>
      <c r="EV323" s="1290"/>
      <c r="EW323" s="1290"/>
      <c r="EX323" s="1290"/>
      <c r="EY323" s="1290"/>
      <c r="EZ323" s="1290"/>
      <c r="FA323" s="1290"/>
      <c r="FB323" s="1290"/>
      <c r="FC323" s="1290"/>
      <c r="FD323" s="1290"/>
      <c r="FE323" s="1290"/>
      <c r="FF323" s="1290"/>
    </row>
    <row r="325" spans="6:162" s="1292" customFormat="1" ht="15.75" customHeight="1">
      <c r="F325" s="1290"/>
      <c r="G325" s="1290"/>
      <c r="H325" s="1290"/>
      <c r="I325" s="1290"/>
      <c r="J325" s="1290"/>
      <c r="K325" s="1290"/>
      <c r="L325" s="1290"/>
      <c r="M325" s="1290"/>
      <c r="N325" s="1290"/>
      <c r="O325" s="1290"/>
      <c r="P325" s="1290"/>
      <c r="Q325" s="1290"/>
      <c r="R325" s="1290"/>
      <c r="S325" s="1290"/>
      <c r="T325" s="1290"/>
      <c r="U325" s="1290"/>
      <c r="V325" s="1290"/>
      <c r="W325" s="1290"/>
      <c r="X325" s="1290"/>
      <c r="Y325" s="1290"/>
      <c r="AA325" s="1290"/>
      <c r="AC325" s="1290"/>
      <c r="AD325" s="1290"/>
      <c r="AE325" s="1290"/>
      <c r="AF325" s="1290"/>
      <c r="AG325" s="1290"/>
      <c r="AH325" s="1291"/>
      <c r="AI325" s="1291"/>
      <c r="AJ325" s="1290"/>
      <c r="AK325" s="1290"/>
      <c r="AL325" s="1290"/>
      <c r="AM325" s="1290"/>
      <c r="AN325" s="1290"/>
      <c r="AO325" s="1290"/>
      <c r="AP325" s="1290"/>
      <c r="AQ325" s="1290"/>
      <c r="AR325" s="1290"/>
      <c r="AS325" s="1290"/>
      <c r="AT325" s="1290"/>
      <c r="AU325" s="1290"/>
      <c r="AV325" s="1290"/>
      <c r="AW325" s="1290"/>
      <c r="AX325" s="1290"/>
      <c r="AY325" s="1290"/>
      <c r="AZ325" s="1290"/>
      <c r="BA325" s="1290"/>
      <c r="BB325" s="1290"/>
      <c r="BC325" s="1290"/>
      <c r="BD325" s="1290"/>
      <c r="BE325" s="1290"/>
      <c r="BF325" s="1290"/>
      <c r="BG325" s="1290"/>
      <c r="BH325" s="1290"/>
      <c r="BI325" s="1290"/>
      <c r="BJ325" s="1290"/>
      <c r="BK325" s="1290"/>
      <c r="BL325" s="1290"/>
      <c r="BM325" s="1290"/>
      <c r="BN325" s="1290"/>
      <c r="BO325" s="1290"/>
      <c r="BP325" s="1290"/>
      <c r="BQ325" s="1290"/>
      <c r="BR325" s="1290"/>
      <c r="BS325" s="1290"/>
      <c r="BT325" s="1290"/>
      <c r="BU325" s="1290"/>
      <c r="BV325" s="1290"/>
      <c r="BW325" s="1290"/>
      <c r="BX325" s="1290"/>
      <c r="BY325" s="1290"/>
      <c r="BZ325" s="1290"/>
      <c r="CA325" s="1290"/>
      <c r="CB325" s="1290"/>
      <c r="CC325" s="1290"/>
      <c r="CD325" s="1290"/>
      <c r="CE325" s="1290"/>
      <c r="CF325" s="1290"/>
      <c r="CG325" s="1290"/>
      <c r="CH325" s="1290"/>
      <c r="CI325" s="1290"/>
      <c r="CJ325" s="1290"/>
      <c r="CK325" s="1290"/>
      <c r="CL325" s="1290"/>
      <c r="CM325" s="1290"/>
      <c r="CN325" s="1290"/>
      <c r="CO325" s="1290"/>
      <c r="CP325" s="1290"/>
      <c r="CQ325" s="1290"/>
      <c r="CR325" s="1290"/>
      <c r="CS325" s="1290"/>
      <c r="CT325" s="1290"/>
      <c r="CU325" s="1290"/>
      <c r="CV325" s="1290"/>
      <c r="CW325" s="1290"/>
      <c r="CX325" s="1290"/>
      <c r="CY325" s="1290"/>
      <c r="CZ325" s="1290"/>
      <c r="DA325" s="1290"/>
      <c r="DB325" s="1290"/>
      <c r="DC325" s="1290"/>
      <c r="DD325" s="1290"/>
      <c r="DE325" s="1290"/>
      <c r="DF325" s="1290"/>
      <c r="DG325" s="1290"/>
      <c r="DH325" s="1290"/>
      <c r="DI325" s="1290"/>
      <c r="DJ325" s="1290"/>
      <c r="DK325" s="1290"/>
      <c r="DL325" s="1290"/>
      <c r="DM325" s="1290"/>
      <c r="DN325" s="1290"/>
      <c r="DO325" s="1290"/>
      <c r="DP325" s="1290"/>
      <c r="DQ325" s="1290"/>
      <c r="DR325" s="1290"/>
      <c r="DS325" s="1290"/>
      <c r="DT325" s="1290"/>
      <c r="DU325" s="1290"/>
      <c r="DV325" s="1290"/>
      <c r="DW325" s="1290"/>
      <c r="DX325" s="1290"/>
      <c r="DY325" s="1290"/>
      <c r="DZ325" s="1290"/>
      <c r="EA325" s="1290"/>
      <c r="EB325" s="1290"/>
      <c r="EC325" s="1290"/>
      <c r="ED325" s="1290"/>
      <c r="EE325" s="1290"/>
      <c r="EF325" s="1290"/>
      <c r="EG325" s="1290"/>
      <c r="EH325" s="1290"/>
      <c r="EI325" s="1290"/>
      <c r="EJ325" s="1290"/>
      <c r="EK325" s="1290"/>
      <c r="EL325" s="1290"/>
      <c r="EM325" s="1290"/>
      <c r="EN325" s="1290"/>
      <c r="EO325" s="1290"/>
      <c r="EP325" s="1290"/>
      <c r="EQ325" s="1290"/>
      <c r="ER325" s="1290"/>
      <c r="ES325" s="1290"/>
      <c r="ET325" s="1290"/>
      <c r="EU325" s="1290"/>
      <c r="EV325" s="1290"/>
      <c r="EW325" s="1290"/>
      <c r="EX325" s="1290"/>
      <c r="EY325" s="1290"/>
      <c r="EZ325" s="1290"/>
      <c r="FA325" s="1290"/>
      <c r="FB325" s="1290"/>
      <c r="FC325" s="1290"/>
      <c r="FD325" s="1290"/>
      <c r="FE325" s="1290"/>
      <c r="FF325" s="1290"/>
    </row>
    <row r="327" spans="6:162" s="1292" customFormat="1" ht="15.75" customHeight="1">
      <c r="F327" s="1290"/>
      <c r="G327" s="1290"/>
      <c r="H327" s="1290"/>
      <c r="I327" s="1290"/>
      <c r="J327" s="1290"/>
      <c r="K327" s="1290"/>
      <c r="L327" s="1290"/>
      <c r="M327" s="1290"/>
      <c r="N327" s="1290"/>
      <c r="O327" s="1290"/>
      <c r="P327" s="1290"/>
      <c r="Q327" s="1290"/>
      <c r="R327" s="1290"/>
      <c r="S327" s="1290"/>
      <c r="T327" s="1290"/>
      <c r="U327" s="1290"/>
      <c r="V327" s="1290"/>
      <c r="W327" s="1290"/>
      <c r="X327" s="1290"/>
      <c r="Y327" s="1290"/>
      <c r="AA327" s="1290"/>
      <c r="AC327" s="1290"/>
      <c r="AD327" s="1290"/>
      <c r="AE327" s="1290"/>
      <c r="AF327" s="1290"/>
      <c r="AG327" s="1290"/>
      <c r="AH327" s="1291"/>
      <c r="AI327" s="1291"/>
      <c r="AJ327" s="1290"/>
      <c r="AK327" s="1290"/>
      <c r="AL327" s="1290"/>
      <c r="AM327" s="1290"/>
      <c r="AN327" s="1290"/>
      <c r="AO327" s="1290"/>
      <c r="AP327" s="1290"/>
      <c r="AQ327" s="1290"/>
      <c r="AR327" s="1290"/>
      <c r="AS327" s="1290"/>
      <c r="AT327" s="1290"/>
      <c r="AU327" s="1290"/>
      <c r="AV327" s="1290"/>
      <c r="AW327" s="1290"/>
      <c r="AX327" s="1290"/>
      <c r="AY327" s="1290"/>
      <c r="AZ327" s="1290"/>
      <c r="BA327" s="1290"/>
      <c r="BB327" s="1290"/>
      <c r="BC327" s="1290"/>
      <c r="BD327" s="1290"/>
      <c r="BE327" s="1290"/>
      <c r="BF327" s="1290"/>
      <c r="BG327" s="1290"/>
      <c r="BH327" s="1290"/>
      <c r="BI327" s="1290"/>
      <c r="BJ327" s="1290"/>
      <c r="BK327" s="1290"/>
      <c r="BL327" s="1290"/>
      <c r="BM327" s="1290"/>
      <c r="BN327" s="1290"/>
      <c r="BO327" s="1290"/>
      <c r="BP327" s="1290"/>
      <c r="BQ327" s="1290"/>
      <c r="BR327" s="1290"/>
      <c r="BS327" s="1290"/>
      <c r="BT327" s="1290"/>
      <c r="BU327" s="1290"/>
      <c r="BV327" s="1290"/>
      <c r="BW327" s="1290"/>
      <c r="BX327" s="1290"/>
      <c r="BY327" s="1290"/>
      <c r="BZ327" s="1290"/>
      <c r="CA327" s="1290"/>
      <c r="CB327" s="1290"/>
      <c r="CC327" s="1290"/>
      <c r="CD327" s="1290"/>
      <c r="CE327" s="1290"/>
      <c r="CF327" s="1290"/>
      <c r="CG327" s="1290"/>
      <c r="CH327" s="1290"/>
      <c r="CI327" s="1290"/>
      <c r="CJ327" s="1290"/>
      <c r="CK327" s="1290"/>
      <c r="CL327" s="1290"/>
      <c r="CM327" s="1290"/>
      <c r="CN327" s="1290"/>
      <c r="CO327" s="1290"/>
      <c r="CP327" s="1290"/>
      <c r="CQ327" s="1290"/>
      <c r="CR327" s="1290"/>
      <c r="CS327" s="1290"/>
      <c r="CT327" s="1290"/>
      <c r="CU327" s="1290"/>
      <c r="CV327" s="1290"/>
      <c r="CW327" s="1290"/>
      <c r="CX327" s="1290"/>
      <c r="CY327" s="1290"/>
      <c r="CZ327" s="1290"/>
      <c r="DA327" s="1290"/>
      <c r="DB327" s="1290"/>
      <c r="DC327" s="1290"/>
      <c r="DD327" s="1290"/>
      <c r="DE327" s="1290"/>
      <c r="DF327" s="1290"/>
      <c r="DG327" s="1290"/>
      <c r="DH327" s="1290"/>
      <c r="DI327" s="1290"/>
      <c r="DJ327" s="1290"/>
      <c r="DK327" s="1290"/>
      <c r="DL327" s="1290"/>
      <c r="DM327" s="1290"/>
      <c r="DN327" s="1290"/>
      <c r="DO327" s="1290"/>
      <c r="DP327" s="1290"/>
      <c r="DQ327" s="1290"/>
      <c r="DR327" s="1290"/>
      <c r="DS327" s="1290"/>
      <c r="DT327" s="1290"/>
      <c r="DU327" s="1290"/>
      <c r="DV327" s="1290"/>
      <c r="DW327" s="1290"/>
      <c r="DX327" s="1290"/>
      <c r="DY327" s="1290"/>
      <c r="DZ327" s="1290"/>
      <c r="EA327" s="1290"/>
      <c r="EB327" s="1290"/>
      <c r="EC327" s="1290"/>
      <c r="ED327" s="1290"/>
      <c r="EE327" s="1290"/>
      <c r="EF327" s="1290"/>
      <c r="EG327" s="1290"/>
      <c r="EH327" s="1290"/>
      <c r="EI327" s="1290"/>
      <c r="EJ327" s="1290"/>
      <c r="EK327" s="1290"/>
      <c r="EL327" s="1290"/>
      <c r="EM327" s="1290"/>
      <c r="EN327" s="1290"/>
      <c r="EO327" s="1290"/>
      <c r="EP327" s="1290"/>
      <c r="EQ327" s="1290"/>
      <c r="ER327" s="1290"/>
      <c r="ES327" s="1290"/>
      <c r="ET327" s="1290"/>
      <c r="EU327" s="1290"/>
      <c r="EV327" s="1290"/>
      <c r="EW327" s="1290"/>
      <c r="EX327" s="1290"/>
      <c r="EY327" s="1290"/>
      <c r="EZ327" s="1290"/>
      <c r="FA327" s="1290"/>
      <c r="FB327" s="1290"/>
      <c r="FC327" s="1290"/>
      <c r="FD327" s="1290"/>
      <c r="FE327" s="1290"/>
      <c r="FF327" s="1290"/>
    </row>
    <row r="329" spans="6:162" s="1292" customFormat="1" ht="15.75" customHeight="1">
      <c r="F329" s="1290"/>
      <c r="G329" s="1290"/>
      <c r="H329" s="1290"/>
      <c r="I329" s="1290"/>
      <c r="J329" s="1290"/>
      <c r="K329" s="1290"/>
      <c r="L329" s="1290"/>
      <c r="M329" s="1290"/>
      <c r="N329" s="1290"/>
      <c r="O329" s="1290"/>
      <c r="P329" s="1290"/>
      <c r="Q329" s="1290"/>
      <c r="R329" s="1290"/>
      <c r="S329" s="1290"/>
      <c r="T329" s="1290"/>
      <c r="U329" s="1290"/>
      <c r="V329" s="1290"/>
      <c r="W329" s="1290"/>
      <c r="X329" s="1290"/>
      <c r="Y329" s="1290"/>
      <c r="AA329" s="1290"/>
      <c r="AC329" s="1290"/>
      <c r="AD329" s="1290"/>
      <c r="AE329" s="1290"/>
      <c r="AF329" s="1290"/>
      <c r="AG329" s="1290"/>
      <c r="AH329" s="1291"/>
      <c r="AI329" s="1291"/>
      <c r="AJ329" s="1290"/>
      <c r="AK329" s="1290"/>
      <c r="AL329" s="1290"/>
      <c r="AM329" s="1290"/>
      <c r="AN329" s="1290"/>
      <c r="AO329" s="1290"/>
      <c r="AP329" s="1290"/>
      <c r="AQ329" s="1290"/>
      <c r="AR329" s="1290"/>
      <c r="AS329" s="1290"/>
      <c r="AT329" s="1290"/>
      <c r="AU329" s="1290"/>
      <c r="AV329" s="1290"/>
      <c r="AW329" s="1290"/>
      <c r="AX329" s="1290"/>
      <c r="AY329" s="1290"/>
      <c r="AZ329" s="1290"/>
      <c r="BA329" s="1290"/>
      <c r="BB329" s="1290"/>
      <c r="BC329" s="1290"/>
      <c r="BD329" s="1290"/>
      <c r="BE329" s="1290"/>
      <c r="BF329" s="1290"/>
      <c r="BG329" s="1290"/>
      <c r="BH329" s="1290"/>
      <c r="BI329" s="1290"/>
      <c r="BJ329" s="1290"/>
      <c r="BK329" s="1290"/>
      <c r="BL329" s="1290"/>
      <c r="BM329" s="1290"/>
      <c r="BN329" s="1290"/>
      <c r="BO329" s="1290"/>
      <c r="BP329" s="1290"/>
      <c r="BQ329" s="1290"/>
      <c r="BR329" s="1290"/>
      <c r="BS329" s="1290"/>
      <c r="BT329" s="1290"/>
      <c r="BU329" s="1290"/>
      <c r="BV329" s="1290"/>
      <c r="BW329" s="1290"/>
      <c r="BX329" s="1290"/>
      <c r="BY329" s="1290"/>
      <c r="BZ329" s="1290"/>
      <c r="CA329" s="1290"/>
      <c r="CB329" s="1290"/>
      <c r="CC329" s="1290"/>
      <c r="CD329" s="1290"/>
      <c r="CE329" s="1290"/>
      <c r="CF329" s="1290"/>
      <c r="CG329" s="1290"/>
      <c r="CH329" s="1290"/>
      <c r="CI329" s="1290"/>
      <c r="CJ329" s="1290"/>
      <c r="CK329" s="1290"/>
      <c r="CL329" s="1290"/>
      <c r="CM329" s="1290"/>
      <c r="CN329" s="1290"/>
      <c r="CO329" s="1290"/>
      <c r="CP329" s="1290"/>
      <c r="CQ329" s="1290"/>
      <c r="CR329" s="1290"/>
      <c r="CS329" s="1290"/>
      <c r="CT329" s="1290"/>
      <c r="CU329" s="1290"/>
      <c r="CV329" s="1290"/>
      <c r="CW329" s="1290"/>
      <c r="CX329" s="1290"/>
      <c r="CY329" s="1290"/>
      <c r="CZ329" s="1290"/>
      <c r="DA329" s="1290"/>
      <c r="DB329" s="1290"/>
      <c r="DC329" s="1290"/>
      <c r="DD329" s="1290"/>
      <c r="DE329" s="1290"/>
      <c r="DF329" s="1290"/>
      <c r="DG329" s="1290"/>
      <c r="DH329" s="1290"/>
      <c r="DI329" s="1290"/>
      <c r="DJ329" s="1290"/>
      <c r="DK329" s="1290"/>
      <c r="DL329" s="1290"/>
      <c r="DM329" s="1290"/>
      <c r="DN329" s="1290"/>
      <c r="DO329" s="1290"/>
      <c r="DP329" s="1290"/>
      <c r="DQ329" s="1290"/>
      <c r="DR329" s="1290"/>
      <c r="DS329" s="1290"/>
      <c r="DT329" s="1290"/>
      <c r="DU329" s="1290"/>
      <c r="DV329" s="1290"/>
      <c r="DW329" s="1290"/>
      <c r="DX329" s="1290"/>
      <c r="DY329" s="1290"/>
      <c r="DZ329" s="1290"/>
      <c r="EA329" s="1290"/>
      <c r="EB329" s="1290"/>
      <c r="EC329" s="1290"/>
      <c r="ED329" s="1290"/>
      <c r="EE329" s="1290"/>
      <c r="EF329" s="1290"/>
      <c r="EG329" s="1290"/>
      <c r="EH329" s="1290"/>
      <c r="EI329" s="1290"/>
      <c r="EJ329" s="1290"/>
      <c r="EK329" s="1290"/>
      <c r="EL329" s="1290"/>
      <c r="EM329" s="1290"/>
      <c r="EN329" s="1290"/>
      <c r="EO329" s="1290"/>
      <c r="EP329" s="1290"/>
      <c r="EQ329" s="1290"/>
      <c r="ER329" s="1290"/>
      <c r="ES329" s="1290"/>
      <c r="ET329" s="1290"/>
      <c r="EU329" s="1290"/>
      <c r="EV329" s="1290"/>
      <c r="EW329" s="1290"/>
      <c r="EX329" s="1290"/>
      <c r="EY329" s="1290"/>
      <c r="EZ329" s="1290"/>
      <c r="FA329" s="1290"/>
      <c r="FB329" s="1290"/>
      <c r="FC329" s="1290"/>
      <c r="FD329" s="1290"/>
      <c r="FE329" s="1290"/>
      <c r="FF329" s="1290"/>
    </row>
    <row r="331" spans="6:162" s="1292" customFormat="1" ht="15.75" customHeight="1">
      <c r="F331" s="1290"/>
      <c r="G331" s="1290"/>
      <c r="H331" s="1290"/>
      <c r="I331" s="1290"/>
      <c r="J331" s="1290"/>
      <c r="K331" s="1290"/>
      <c r="L331" s="1290"/>
      <c r="M331" s="1290"/>
      <c r="N331" s="1290"/>
      <c r="O331" s="1290"/>
      <c r="P331" s="1290"/>
      <c r="Q331" s="1290"/>
      <c r="R331" s="1290"/>
      <c r="S331" s="1290"/>
      <c r="T331" s="1290"/>
      <c r="U331" s="1290"/>
      <c r="V331" s="1290"/>
      <c r="W331" s="1290"/>
      <c r="X331" s="1290"/>
      <c r="Y331" s="1290"/>
      <c r="AA331" s="1290"/>
      <c r="AC331" s="1290"/>
      <c r="AD331" s="1290"/>
      <c r="AE331" s="1290"/>
      <c r="AF331" s="1290"/>
      <c r="AG331" s="1290"/>
      <c r="AH331" s="1291"/>
      <c r="AI331" s="1291"/>
      <c r="AJ331" s="1290"/>
      <c r="AK331" s="1290"/>
      <c r="AL331" s="1290"/>
      <c r="AM331" s="1290"/>
      <c r="AN331" s="1290"/>
      <c r="AO331" s="1290"/>
      <c r="AP331" s="1290"/>
      <c r="AQ331" s="1290"/>
      <c r="AR331" s="1290"/>
      <c r="AS331" s="1290"/>
      <c r="AT331" s="1290"/>
      <c r="AU331" s="1290"/>
      <c r="AV331" s="1290"/>
      <c r="AW331" s="1290"/>
      <c r="AX331" s="1290"/>
      <c r="AY331" s="1290"/>
      <c r="AZ331" s="1290"/>
      <c r="BA331" s="1290"/>
      <c r="BB331" s="1290"/>
      <c r="BC331" s="1290"/>
      <c r="BD331" s="1290"/>
      <c r="BE331" s="1290"/>
      <c r="BF331" s="1290"/>
      <c r="BG331" s="1290"/>
      <c r="BH331" s="1290"/>
      <c r="BI331" s="1290"/>
      <c r="BJ331" s="1290"/>
      <c r="BK331" s="1290"/>
      <c r="BL331" s="1290"/>
      <c r="BM331" s="1290"/>
      <c r="BN331" s="1290"/>
      <c r="BO331" s="1290"/>
      <c r="BP331" s="1290"/>
      <c r="BQ331" s="1290"/>
      <c r="BR331" s="1290"/>
      <c r="BS331" s="1290"/>
      <c r="BT331" s="1290"/>
      <c r="BU331" s="1290"/>
      <c r="BV331" s="1290"/>
      <c r="BW331" s="1290"/>
      <c r="BX331" s="1290"/>
      <c r="BY331" s="1290"/>
      <c r="BZ331" s="1290"/>
      <c r="CA331" s="1290"/>
      <c r="CB331" s="1290"/>
      <c r="CC331" s="1290"/>
      <c r="CD331" s="1290"/>
      <c r="CE331" s="1290"/>
      <c r="CF331" s="1290"/>
      <c r="CG331" s="1290"/>
      <c r="CH331" s="1290"/>
      <c r="CI331" s="1290"/>
      <c r="CJ331" s="1290"/>
      <c r="CK331" s="1290"/>
      <c r="CL331" s="1290"/>
      <c r="CM331" s="1290"/>
      <c r="CN331" s="1290"/>
      <c r="CO331" s="1290"/>
      <c r="CP331" s="1290"/>
      <c r="CQ331" s="1290"/>
      <c r="CR331" s="1290"/>
      <c r="CS331" s="1290"/>
      <c r="CT331" s="1290"/>
      <c r="CU331" s="1290"/>
      <c r="CV331" s="1290"/>
      <c r="CW331" s="1290"/>
      <c r="CX331" s="1290"/>
      <c r="CY331" s="1290"/>
      <c r="CZ331" s="1290"/>
      <c r="DA331" s="1290"/>
      <c r="DB331" s="1290"/>
      <c r="DC331" s="1290"/>
      <c r="DD331" s="1290"/>
      <c r="DE331" s="1290"/>
      <c r="DF331" s="1290"/>
      <c r="DG331" s="1290"/>
      <c r="DH331" s="1290"/>
      <c r="DI331" s="1290"/>
      <c r="DJ331" s="1290"/>
      <c r="DK331" s="1290"/>
      <c r="DL331" s="1290"/>
      <c r="DM331" s="1290"/>
      <c r="DN331" s="1290"/>
      <c r="DO331" s="1290"/>
      <c r="DP331" s="1290"/>
      <c r="DQ331" s="1290"/>
      <c r="DR331" s="1290"/>
      <c r="DS331" s="1290"/>
      <c r="DT331" s="1290"/>
      <c r="DU331" s="1290"/>
      <c r="DV331" s="1290"/>
      <c r="DW331" s="1290"/>
      <c r="DX331" s="1290"/>
      <c r="DY331" s="1290"/>
      <c r="DZ331" s="1290"/>
      <c r="EA331" s="1290"/>
      <c r="EB331" s="1290"/>
      <c r="EC331" s="1290"/>
      <c r="ED331" s="1290"/>
      <c r="EE331" s="1290"/>
      <c r="EF331" s="1290"/>
      <c r="EG331" s="1290"/>
      <c r="EH331" s="1290"/>
      <c r="EI331" s="1290"/>
      <c r="EJ331" s="1290"/>
      <c r="EK331" s="1290"/>
      <c r="EL331" s="1290"/>
      <c r="EM331" s="1290"/>
      <c r="EN331" s="1290"/>
      <c r="EO331" s="1290"/>
      <c r="EP331" s="1290"/>
      <c r="EQ331" s="1290"/>
      <c r="ER331" s="1290"/>
      <c r="ES331" s="1290"/>
      <c r="ET331" s="1290"/>
      <c r="EU331" s="1290"/>
      <c r="EV331" s="1290"/>
      <c r="EW331" s="1290"/>
      <c r="EX331" s="1290"/>
      <c r="EY331" s="1290"/>
      <c r="EZ331" s="1290"/>
      <c r="FA331" s="1290"/>
      <c r="FB331" s="1290"/>
      <c r="FC331" s="1290"/>
      <c r="FD331" s="1290"/>
      <c r="FE331" s="1290"/>
      <c r="FF331" s="1290"/>
    </row>
    <row r="333" spans="6:162" s="1292" customFormat="1" ht="15.75" customHeight="1">
      <c r="F333" s="1290"/>
      <c r="G333" s="1290"/>
      <c r="H333" s="1290"/>
      <c r="I333" s="1290"/>
      <c r="J333" s="1290"/>
      <c r="K333" s="1290"/>
      <c r="L333" s="1290"/>
      <c r="M333" s="1290"/>
      <c r="N333" s="1290"/>
      <c r="O333" s="1290"/>
      <c r="P333" s="1290"/>
      <c r="Q333" s="1290"/>
      <c r="R333" s="1290"/>
      <c r="S333" s="1290"/>
      <c r="T333" s="1290"/>
      <c r="U333" s="1290"/>
      <c r="V333" s="1290"/>
      <c r="W333" s="1290"/>
      <c r="X333" s="1290"/>
      <c r="Y333" s="1290"/>
      <c r="AA333" s="1290"/>
      <c r="AC333" s="1290"/>
      <c r="AD333" s="1290"/>
      <c r="AE333" s="1290"/>
      <c r="AF333" s="1290"/>
      <c r="AG333" s="1290"/>
      <c r="AH333" s="1291"/>
      <c r="AI333" s="1291"/>
      <c r="AJ333" s="1290"/>
      <c r="AK333" s="1290"/>
      <c r="AL333" s="1290"/>
      <c r="AM333" s="1290"/>
      <c r="AN333" s="1290"/>
      <c r="AO333" s="1290"/>
      <c r="AP333" s="1290"/>
      <c r="AQ333" s="1290"/>
      <c r="AR333" s="1290"/>
      <c r="AS333" s="1290"/>
      <c r="AT333" s="1290"/>
      <c r="AU333" s="1290"/>
      <c r="AV333" s="1290"/>
      <c r="AW333" s="1290"/>
      <c r="AX333" s="1290"/>
      <c r="AY333" s="1290"/>
      <c r="AZ333" s="1290"/>
      <c r="BA333" s="1290"/>
      <c r="BB333" s="1290"/>
      <c r="BC333" s="1290"/>
      <c r="BD333" s="1290"/>
      <c r="BE333" s="1290"/>
      <c r="BF333" s="1290"/>
      <c r="BG333" s="1290"/>
      <c r="BH333" s="1290"/>
      <c r="BI333" s="1290"/>
      <c r="BJ333" s="1290"/>
      <c r="BK333" s="1290"/>
      <c r="BL333" s="1290"/>
      <c r="BM333" s="1290"/>
      <c r="BN333" s="1290"/>
      <c r="BO333" s="1290"/>
      <c r="BP333" s="1290"/>
      <c r="BQ333" s="1290"/>
      <c r="BR333" s="1290"/>
      <c r="BS333" s="1290"/>
      <c r="BT333" s="1290"/>
      <c r="BU333" s="1290"/>
      <c r="BV333" s="1290"/>
      <c r="BW333" s="1290"/>
      <c r="BX333" s="1290"/>
      <c r="BY333" s="1290"/>
      <c r="BZ333" s="1290"/>
      <c r="CA333" s="1290"/>
      <c r="CB333" s="1290"/>
      <c r="CC333" s="1290"/>
      <c r="CD333" s="1290"/>
      <c r="CE333" s="1290"/>
      <c r="CF333" s="1290"/>
      <c r="CG333" s="1290"/>
      <c r="CH333" s="1290"/>
      <c r="CI333" s="1290"/>
      <c r="CJ333" s="1290"/>
      <c r="CK333" s="1290"/>
      <c r="CL333" s="1290"/>
      <c r="CM333" s="1290"/>
      <c r="CN333" s="1290"/>
      <c r="CO333" s="1290"/>
      <c r="CP333" s="1290"/>
      <c r="CQ333" s="1290"/>
      <c r="CR333" s="1290"/>
      <c r="CS333" s="1290"/>
      <c r="CT333" s="1290"/>
      <c r="CU333" s="1290"/>
      <c r="CV333" s="1290"/>
      <c r="CW333" s="1290"/>
      <c r="CX333" s="1290"/>
      <c r="CY333" s="1290"/>
      <c r="CZ333" s="1290"/>
      <c r="DA333" s="1290"/>
      <c r="DB333" s="1290"/>
      <c r="DC333" s="1290"/>
      <c r="DD333" s="1290"/>
      <c r="DE333" s="1290"/>
      <c r="DF333" s="1290"/>
      <c r="DG333" s="1290"/>
      <c r="DH333" s="1290"/>
      <c r="DI333" s="1290"/>
      <c r="DJ333" s="1290"/>
      <c r="DK333" s="1290"/>
      <c r="DL333" s="1290"/>
      <c r="DM333" s="1290"/>
      <c r="DN333" s="1290"/>
      <c r="DO333" s="1290"/>
      <c r="DP333" s="1290"/>
      <c r="DQ333" s="1290"/>
      <c r="DR333" s="1290"/>
      <c r="DS333" s="1290"/>
      <c r="DT333" s="1290"/>
      <c r="DU333" s="1290"/>
      <c r="DV333" s="1290"/>
      <c r="DW333" s="1290"/>
      <c r="DX333" s="1290"/>
      <c r="DY333" s="1290"/>
      <c r="DZ333" s="1290"/>
      <c r="EA333" s="1290"/>
      <c r="EB333" s="1290"/>
      <c r="EC333" s="1290"/>
      <c r="ED333" s="1290"/>
      <c r="EE333" s="1290"/>
      <c r="EF333" s="1290"/>
      <c r="EG333" s="1290"/>
      <c r="EH333" s="1290"/>
      <c r="EI333" s="1290"/>
      <c r="EJ333" s="1290"/>
      <c r="EK333" s="1290"/>
      <c r="EL333" s="1290"/>
      <c r="EM333" s="1290"/>
      <c r="EN333" s="1290"/>
      <c r="EO333" s="1290"/>
      <c r="EP333" s="1290"/>
      <c r="EQ333" s="1290"/>
      <c r="ER333" s="1290"/>
      <c r="ES333" s="1290"/>
      <c r="ET333" s="1290"/>
      <c r="EU333" s="1290"/>
      <c r="EV333" s="1290"/>
      <c r="EW333" s="1290"/>
      <c r="EX333" s="1290"/>
      <c r="EY333" s="1290"/>
      <c r="EZ333" s="1290"/>
      <c r="FA333" s="1290"/>
      <c r="FB333" s="1290"/>
      <c r="FC333" s="1290"/>
      <c r="FD333" s="1290"/>
      <c r="FE333" s="1290"/>
      <c r="FF333" s="1290"/>
    </row>
    <row r="335" spans="6:162" s="1292" customFormat="1" ht="15.75" customHeight="1">
      <c r="F335" s="1290"/>
      <c r="G335" s="1290"/>
      <c r="H335" s="1290"/>
      <c r="I335" s="1290"/>
      <c r="J335" s="1290"/>
      <c r="K335" s="1290"/>
      <c r="L335" s="1290"/>
      <c r="M335" s="1290"/>
      <c r="N335" s="1290"/>
      <c r="O335" s="1290"/>
      <c r="P335" s="1290"/>
      <c r="Q335" s="1290"/>
      <c r="R335" s="1290"/>
      <c r="S335" s="1290"/>
      <c r="T335" s="1290"/>
      <c r="U335" s="1290"/>
      <c r="V335" s="1290"/>
      <c r="W335" s="1290"/>
      <c r="X335" s="1290"/>
      <c r="Y335" s="1290"/>
      <c r="AA335" s="1290"/>
      <c r="AC335" s="1290"/>
      <c r="AD335" s="1290"/>
      <c r="AE335" s="1290"/>
      <c r="AF335" s="1290"/>
      <c r="AG335" s="1290"/>
      <c r="AH335" s="1291"/>
      <c r="AI335" s="1291"/>
      <c r="AJ335" s="1290"/>
      <c r="AK335" s="1290"/>
      <c r="AL335" s="1290"/>
      <c r="AM335" s="1290"/>
      <c r="AN335" s="1290"/>
      <c r="AO335" s="1290"/>
      <c r="AP335" s="1290"/>
      <c r="AQ335" s="1290"/>
      <c r="AR335" s="1290"/>
      <c r="AS335" s="1290"/>
      <c r="AT335" s="1290"/>
      <c r="AU335" s="1290"/>
      <c r="AV335" s="1290"/>
      <c r="AW335" s="1290"/>
      <c r="AX335" s="1290"/>
      <c r="AY335" s="1290"/>
      <c r="AZ335" s="1290"/>
      <c r="BA335" s="1290"/>
      <c r="BB335" s="1290"/>
      <c r="BC335" s="1290"/>
      <c r="BD335" s="1290"/>
      <c r="BE335" s="1290"/>
      <c r="BF335" s="1290"/>
      <c r="BG335" s="1290"/>
      <c r="BH335" s="1290"/>
      <c r="BI335" s="1290"/>
      <c r="BJ335" s="1290"/>
      <c r="BK335" s="1290"/>
      <c r="BL335" s="1290"/>
      <c r="BM335" s="1290"/>
      <c r="BN335" s="1290"/>
      <c r="BO335" s="1290"/>
      <c r="BP335" s="1290"/>
      <c r="BQ335" s="1290"/>
      <c r="BR335" s="1290"/>
      <c r="BS335" s="1290"/>
      <c r="BT335" s="1290"/>
      <c r="BU335" s="1290"/>
      <c r="BV335" s="1290"/>
      <c r="BW335" s="1290"/>
      <c r="BX335" s="1290"/>
      <c r="BY335" s="1290"/>
      <c r="BZ335" s="1290"/>
      <c r="CA335" s="1290"/>
      <c r="CB335" s="1290"/>
      <c r="CC335" s="1290"/>
      <c r="CD335" s="1290"/>
      <c r="CE335" s="1290"/>
      <c r="CF335" s="1290"/>
      <c r="CG335" s="1290"/>
      <c r="CH335" s="1290"/>
      <c r="CI335" s="1290"/>
      <c r="CJ335" s="1290"/>
      <c r="CK335" s="1290"/>
      <c r="CL335" s="1290"/>
      <c r="CM335" s="1290"/>
      <c r="CN335" s="1290"/>
      <c r="CO335" s="1290"/>
      <c r="CP335" s="1290"/>
      <c r="CQ335" s="1290"/>
      <c r="CR335" s="1290"/>
      <c r="CS335" s="1290"/>
      <c r="CT335" s="1290"/>
      <c r="CU335" s="1290"/>
      <c r="CV335" s="1290"/>
      <c r="CW335" s="1290"/>
      <c r="CX335" s="1290"/>
      <c r="CY335" s="1290"/>
      <c r="CZ335" s="1290"/>
      <c r="DA335" s="1290"/>
      <c r="DB335" s="1290"/>
      <c r="DC335" s="1290"/>
      <c r="DD335" s="1290"/>
      <c r="DE335" s="1290"/>
      <c r="DF335" s="1290"/>
      <c r="DG335" s="1290"/>
      <c r="DH335" s="1290"/>
      <c r="DI335" s="1290"/>
      <c r="DJ335" s="1290"/>
      <c r="DK335" s="1290"/>
      <c r="DL335" s="1290"/>
      <c r="DM335" s="1290"/>
      <c r="DN335" s="1290"/>
      <c r="DO335" s="1290"/>
      <c r="DP335" s="1290"/>
      <c r="DQ335" s="1290"/>
      <c r="DR335" s="1290"/>
      <c r="DS335" s="1290"/>
      <c r="DT335" s="1290"/>
      <c r="DU335" s="1290"/>
      <c r="DV335" s="1290"/>
      <c r="DW335" s="1290"/>
      <c r="DX335" s="1290"/>
      <c r="DY335" s="1290"/>
      <c r="DZ335" s="1290"/>
      <c r="EA335" s="1290"/>
      <c r="EB335" s="1290"/>
      <c r="EC335" s="1290"/>
      <c r="ED335" s="1290"/>
      <c r="EE335" s="1290"/>
      <c r="EF335" s="1290"/>
      <c r="EG335" s="1290"/>
      <c r="EH335" s="1290"/>
      <c r="EI335" s="1290"/>
      <c r="EJ335" s="1290"/>
      <c r="EK335" s="1290"/>
      <c r="EL335" s="1290"/>
      <c r="EM335" s="1290"/>
      <c r="EN335" s="1290"/>
      <c r="EO335" s="1290"/>
      <c r="EP335" s="1290"/>
      <c r="EQ335" s="1290"/>
      <c r="ER335" s="1290"/>
      <c r="ES335" s="1290"/>
      <c r="ET335" s="1290"/>
      <c r="EU335" s="1290"/>
      <c r="EV335" s="1290"/>
      <c r="EW335" s="1290"/>
      <c r="EX335" s="1290"/>
      <c r="EY335" s="1290"/>
      <c r="EZ335" s="1290"/>
      <c r="FA335" s="1290"/>
      <c r="FB335" s="1290"/>
      <c r="FC335" s="1290"/>
      <c r="FD335" s="1290"/>
      <c r="FE335" s="1290"/>
      <c r="FF335" s="1290"/>
    </row>
    <row r="337" spans="6:162" s="1292" customFormat="1" ht="15.75" customHeight="1">
      <c r="F337" s="1290"/>
      <c r="G337" s="1290"/>
      <c r="H337" s="1290"/>
      <c r="I337" s="1290"/>
      <c r="J337" s="1290"/>
      <c r="K337" s="1290"/>
      <c r="L337" s="1290"/>
      <c r="M337" s="1290"/>
      <c r="N337" s="1290"/>
      <c r="O337" s="1290"/>
      <c r="P337" s="1290"/>
      <c r="Q337" s="1290"/>
      <c r="R337" s="1290"/>
      <c r="S337" s="1290"/>
      <c r="T337" s="1290"/>
      <c r="U337" s="1290"/>
      <c r="V337" s="1290"/>
      <c r="W337" s="1290"/>
      <c r="X337" s="1290"/>
      <c r="Y337" s="1290"/>
      <c r="AA337" s="1290"/>
      <c r="AC337" s="1290"/>
      <c r="AD337" s="1290"/>
      <c r="AE337" s="1290"/>
      <c r="AF337" s="1290"/>
      <c r="AG337" s="1290"/>
      <c r="AH337" s="1291"/>
      <c r="AI337" s="1291"/>
      <c r="AJ337" s="1290"/>
      <c r="AK337" s="1290"/>
      <c r="AL337" s="1290"/>
      <c r="AM337" s="1290"/>
      <c r="AN337" s="1290"/>
      <c r="AO337" s="1290"/>
      <c r="AP337" s="1290"/>
      <c r="AQ337" s="1290"/>
      <c r="AR337" s="1290"/>
      <c r="AS337" s="1290"/>
      <c r="AT337" s="1290"/>
      <c r="AU337" s="1290"/>
      <c r="AV337" s="1290"/>
      <c r="AW337" s="1290"/>
      <c r="AX337" s="1290"/>
      <c r="AY337" s="1290"/>
      <c r="AZ337" s="1290"/>
      <c r="BA337" s="1290"/>
      <c r="BB337" s="1290"/>
      <c r="BC337" s="1290"/>
      <c r="BD337" s="1290"/>
      <c r="BE337" s="1290"/>
      <c r="BF337" s="1290"/>
      <c r="BG337" s="1290"/>
      <c r="BH337" s="1290"/>
      <c r="BI337" s="1290"/>
      <c r="BJ337" s="1290"/>
      <c r="BK337" s="1290"/>
      <c r="BL337" s="1290"/>
      <c r="BM337" s="1290"/>
      <c r="BN337" s="1290"/>
      <c r="BO337" s="1290"/>
      <c r="BP337" s="1290"/>
      <c r="BQ337" s="1290"/>
      <c r="BR337" s="1290"/>
      <c r="BS337" s="1290"/>
      <c r="BT337" s="1290"/>
      <c r="BU337" s="1290"/>
      <c r="BV337" s="1290"/>
      <c r="BW337" s="1290"/>
      <c r="BX337" s="1290"/>
      <c r="BY337" s="1290"/>
      <c r="BZ337" s="1290"/>
      <c r="CA337" s="1290"/>
      <c r="CB337" s="1290"/>
      <c r="CC337" s="1290"/>
      <c r="CD337" s="1290"/>
      <c r="CE337" s="1290"/>
      <c r="CF337" s="1290"/>
      <c r="CG337" s="1290"/>
      <c r="CH337" s="1290"/>
      <c r="CI337" s="1290"/>
      <c r="CJ337" s="1290"/>
      <c r="CK337" s="1290"/>
      <c r="CL337" s="1290"/>
      <c r="CM337" s="1290"/>
      <c r="CN337" s="1290"/>
      <c r="CO337" s="1290"/>
      <c r="CP337" s="1290"/>
      <c r="CQ337" s="1290"/>
      <c r="CR337" s="1290"/>
      <c r="CS337" s="1290"/>
      <c r="CT337" s="1290"/>
      <c r="CU337" s="1290"/>
      <c r="CV337" s="1290"/>
      <c r="CW337" s="1290"/>
      <c r="CX337" s="1290"/>
      <c r="CY337" s="1290"/>
      <c r="CZ337" s="1290"/>
      <c r="DA337" s="1290"/>
      <c r="DB337" s="1290"/>
      <c r="DC337" s="1290"/>
      <c r="DD337" s="1290"/>
      <c r="DE337" s="1290"/>
      <c r="DF337" s="1290"/>
      <c r="DG337" s="1290"/>
      <c r="DH337" s="1290"/>
      <c r="DI337" s="1290"/>
      <c r="DJ337" s="1290"/>
      <c r="DK337" s="1290"/>
      <c r="DL337" s="1290"/>
      <c r="DM337" s="1290"/>
      <c r="DN337" s="1290"/>
      <c r="DO337" s="1290"/>
      <c r="DP337" s="1290"/>
      <c r="DQ337" s="1290"/>
      <c r="DR337" s="1290"/>
      <c r="DS337" s="1290"/>
      <c r="DT337" s="1290"/>
      <c r="DU337" s="1290"/>
      <c r="DV337" s="1290"/>
      <c r="DW337" s="1290"/>
      <c r="DX337" s="1290"/>
      <c r="DY337" s="1290"/>
      <c r="DZ337" s="1290"/>
      <c r="EA337" s="1290"/>
      <c r="EB337" s="1290"/>
      <c r="EC337" s="1290"/>
      <c r="ED337" s="1290"/>
      <c r="EE337" s="1290"/>
      <c r="EF337" s="1290"/>
      <c r="EG337" s="1290"/>
      <c r="EH337" s="1290"/>
      <c r="EI337" s="1290"/>
      <c r="EJ337" s="1290"/>
      <c r="EK337" s="1290"/>
      <c r="EL337" s="1290"/>
      <c r="EM337" s="1290"/>
      <c r="EN337" s="1290"/>
      <c r="EO337" s="1290"/>
      <c r="EP337" s="1290"/>
      <c r="EQ337" s="1290"/>
      <c r="ER337" s="1290"/>
      <c r="ES337" s="1290"/>
      <c r="ET337" s="1290"/>
      <c r="EU337" s="1290"/>
      <c r="EV337" s="1290"/>
      <c r="EW337" s="1290"/>
      <c r="EX337" s="1290"/>
      <c r="EY337" s="1290"/>
      <c r="EZ337" s="1290"/>
      <c r="FA337" s="1290"/>
      <c r="FB337" s="1290"/>
      <c r="FC337" s="1290"/>
      <c r="FD337" s="1290"/>
      <c r="FE337" s="1290"/>
      <c r="FF337" s="1290"/>
    </row>
    <row r="339" spans="6:162" s="1292" customFormat="1" ht="15.75" customHeight="1">
      <c r="F339" s="1290"/>
      <c r="G339" s="1290"/>
      <c r="H339" s="1290"/>
      <c r="I339" s="1290"/>
      <c r="J339" s="1290"/>
      <c r="K339" s="1290"/>
      <c r="L339" s="1290"/>
      <c r="M339" s="1290"/>
      <c r="N339" s="1290"/>
      <c r="O339" s="1290"/>
      <c r="P339" s="1290"/>
      <c r="Q339" s="1290"/>
      <c r="R339" s="1290"/>
      <c r="S339" s="1290"/>
      <c r="T339" s="1290"/>
      <c r="U339" s="1290"/>
      <c r="V339" s="1290"/>
      <c r="W339" s="1290"/>
      <c r="X339" s="1290"/>
      <c r="Y339" s="1290"/>
      <c r="AA339" s="1290"/>
      <c r="AC339" s="1290"/>
      <c r="AD339" s="1290"/>
      <c r="AE339" s="1290"/>
      <c r="AF339" s="1290"/>
      <c r="AG339" s="1290"/>
      <c r="AH339" s="1291"/>
      <c r="AI339" s="1291"/>
      <c r="AJ339" s="1290"/>
      <c r="AK339" s="1290"/>
      <c r="AL339" s="1290"/>
      <c r="AM339" s="1290"/>
      <c r="AN339" s="1290"/>
      <c r="AO339" s="1290"/>
      <c r="AP339" s="1290"/>
      <c r="AQ339" s="1290"/>
      <c r="AR339" s="1290"/>
      <c r="AS339" s="1290"/>
      <c r="AT339" s="1290"/>
      <c r="AU339" s="1290"/>
      <c r="AV339" s="1290"/>
      <c r="AW339" s="1290"/>
      <c r="AX339" s="1290"/>
      <c r="AY339" s="1290"/>
      <c r="AZ339" s="1290"/>
      <c r="BA339" s="1290"/>
      <c r="BB339" s="1290"/>
      <c r="BC339" s="1290"/>
      <c r="BD339" s="1290"/>
      <c r="BE339" s="1290"/>
      <c r="BF339" s="1290"/>
      <c r="BG339" s="1290"/>
      <c r="BH339" s="1290"/>
      <c r="BI339" s="1290"/>
      <c r="BJ339" s="1290"/>
      <c r="BK339" s="1290"/>
      <c r="BL339" s="1290"/>
      <c r="BM339" s="1290"/>
      <c r="BN339" s="1290"/>
      <c r="BO339" s="1290"/>
      <c r="BP339" s="1290"/>
      <c r="BQ339" s="1290"/>
      <c r="BR339" s="1290"/>
      <c r="BS339" s="1290"/>
      <c r="BT339" s="1290"/>
      <c r="BU339" s="1290"/>
      <c r="BV339" s="1290"/>
      <c r="BW339" s="1290"/>
      <c r="BX339" s="1290"/>
      <c r="BY339" s="1290"/>
      <c r="BZ339" s="1290"/>
      <c r="CA339" s="1290"/>
      <c r="CB339" s="1290"/>
      <c r="CC339" s="1290"/>
      <c r="CD339" s="1290"/>
      <c r="CE339" s="1290"/>
      <c r="CF339" s="1290"/>
      <c r="CG339" s="1290"/>
      <c r="CH339" s="1290"/>
      <c r="CI339" s="1290"/>
      <c r="CJ339" s="1290"/>
      <c r="CK339" s="1290"/>
      <c r="CL339" s="1290"/>
      <c r="CM339" s="1290"/>
      <c r="CN339" s="1290"/>
      <c r="CO339" s="1290"/>
      <c r="CP339" s="1290"/>
      <c r="CQ339" s="1290"/>
      <c r="CR339" s="1290"/>
      <c r="CS339" s="1290"/>
      <c r="CT339" s="1290"/>
      <c r="CU339" s="1290"/>
      <c r="CV339" s="1290"/>
      <c r="CW339" s="1290"/>
      <c r="CX339" s="1290"/>
      <c r="CY339" s="1290"/>
      <c r="CZ339" s="1290"/>
      <c r="DA339" s="1290"/>
      <c r="DB339" s="1290"/>
      <c r="DC339" s="1290"/>
      <c r="DD339" s="1290"/>
      <c r="DE339" s="1290"/>
      <c r="DF339" s="1290"/>
      <c r="DG339" s="1290"/>
      <c r="DH339" s="1290"/>
      <c r="DI339" s="1290"/>
      <c r="DJ339" s="1290"/>
      <c r="DK339" s="1290"/>
      <c r="DL339" s="1290"/>
      <c r="DM339" s="1290"/>
      <c r="DN339" s="1290"/>
      <c r="DO339" s="1290"/>
      <c r="DP339" s="1290"/>
      <c r="DQ339" s="1290"/>
      <c r="DR339" s="1290"/>
      <c r="DS339" s="1290"/>
      <c r="DT339" s="1290"/>
      <c r="DU339" s="1290"/>
      <c r="DV339" s="1290"/>
      <c r="DW339" s="1290"/>
      <c r="DX339" s="1290"/>
      <c r="DY339" s="1290"/>
      <c r="DZ339" s="1290"/>
      <c r="EA339" s="1290"/>
      <c r="EB339" s="1290"/>
      <c r="EC339" s="1290"/>
      <c r="ED339" s="1290"/>
      <c r="EE339" s="1290"/>
      <c r="EF339" s="1290"/>
      <c r="EG339" s="1290"/>
      <c r="EH339" s="1290"/>
      <c r="EI339" s="1290"/>
      <c r="EJ339" s="1290"/>
      <c r="EK339" s="1290"/>
      <c r="EL339" s="1290"/>
      <c r="EM339" s="1290"/>
      <c r="EN339" s="1290"/>
      <c r="EO339" s="1290"/>
      <c r="EP339" s="1290"/>
      <c r="EQ339" s="1290"/>
      <c r="ER339" s="1290"/>
      <c r="ES339" s="1290"/>
      <c r="ET339" s="1290"/>
      <c r="EU339" s="1290"/>
      <c r="EV339" s="1290"/>
      <c r="EW339" s="1290"/>
      <c r="EX339" s="1290"/>
      <c r="EY339" s="1290"/>
      <c r="EZ339" s="1290"/>
      <c r="FA339" s="1290"/>
      <c r="FB339" s="1290"/>
      <c r="FC339" s="1290"/>
      <c r="FD339" s="1290"/>
      <c r="FE339" s="1290"/>
      <c r="FF339" s="1290"/>
    </row>
    <row r="341" spans="6:162" s="1292" customFormat="1" ht="15.75" customHeight="1">
      <c r="F341" s="1290"/>
      <c r="G341" s="1290"/>
      <c r="H341" s="1290"/>
      <c r="I341" s="1290"/>
      <c r="J341" s="1290"/>
      <c r="K341" s="1290"/>
      <c r="L341" s="1290"/>
      <c r="M341" s="1290"/>
      <c r="N341" s="1290"/>
      <c r="O341" s="1290"/>
      <c r="P341" s="1290"/>
      <c r="Q341" s="1290"/>
      <c r="R341" s="1290"/>
      <c r="S341" s="1290"/>
      <c r="T341" s="1290"/>
      <c r="U341" s="1290"/>
      <c r="V341" s="1290"/>
      <c r="W341" s="1290"/>
      <c r="X341" s="1290"/>
      <c r="Y341" s="1290"/>
      <c r="AA341" s="1290"/>
      <c r="AC341" s="1290"/>
      <c r="AD341" s="1290"/>
      <c r="AE341" s="1290"/>
      <c r="AF341" s="1290"/>
      <c r="AG341" s="1290"/>
      <c r="AH341" s="1291"/>
      <c r="AI341" s="1291"/>
      <c r="AJ341" s="1290"/>
      <c r="AK341" s="1290"/>
      <c r="AL341" s="1290"/>
      <c r="AM341" s="1290"/>
      <c r="AN341" s="1290"/>
      <c r="AO341" s="1290"/>
      <c r="AP341" s="1290"/>
      <c r="AQ341" s="1290"/>
      <c r="AR341" s="1290"/>
      <c r="AS341" s="1290"/>
      <c r="AT341" s="1290"/>
      <c r="AU341" s="1290"/>
      <c r="AV341" s="1290"/>
      <c r="AW341" s="1290"/>
      <c r="AX341" s="1290"/>
      <c r="AY341" s="1290"/>
      <c r="AZ341" s="1290"/>
      <c r="BA341" s="1290"/>
      <c r="BB341" s="1290"/>
      <c r="BC341" s="1290"/>
      <c r="BD341" s="1290"/>
      <c r="BE341" s="1290"/>
      <c r="BF341" s="1290"/>
      <c r="BG341" s="1290"/>
      <c r="BH341" s="1290"/>
      <c r="BI341" s="1290"/>
      <c r="BJ341" s="1290"/>
      <c r="BK341" s="1290"/>
      <c r="BL341" s="1290"/>
      <c r="BM341" s="1290"/>
      <c r="BN341" s="1290"/>
      <c r="BO341" s="1290"/>
      <c r="BP341" s="1290"/>
      <c r="BQ341" s="1290"/>
      <c r="BR341" s="1290"/>
      <c r="BS341" s="1290"/>
      <c r="BT341" s="1290"/>
      <c r="BU341" s="1290"/>
      <c r="BV341" s="1290"/>
      <c r="BW341" s="1290"/>
      <c r="BX341" s="1290"/>
      <c r="BY341" s="1290"/>
      <c r="BZ341" s="1290"/>
      <c r="CA341" s="1290"/>
      <c r="CB341" s="1290"/>
      <c r="CC341" s="1290"/>
      <c r="CD341" s="1290"/>
      <c r="CE341" s="1290"/>
      <c r="CF341" s="1290"/>
      <c r="CG341" s="1290"/>
      <c r="CH341" s="1290"/>
      <c r="CI341" s="1290"/>
      <c r="CJ341" s="1290"/>
      <c r="CK341" s="1290"/>
      <c r="CL341" s="1290"/>
      <c r="CM341" s="1290"/>
      <c r="CN341" s="1290"/>
      <c r="CO341" s="1290"/>
      <c r="CP341" s="1290"/>
      <c r="CQ341" s="1290"/>
      <c r="CR341" s="1290"/>
      <c r="CS341" s="1290"/>
      <c r="CT341" s="1290"/>
      <c r="CU341" s="1290"/>
      <c r="CV341" s="1290"/>
      <c r="CW341" s="1290"/>
      <c r="CX341" s="1290"/>
      <c r="CY341" s="1290"/>
      <c r="CZ341" s="1290"/>
      <c r="DA341" s="1290"/>
      <c r="DB341" s="1290"/>
      <c r="DC341" s="1290"/>
      <c r="DD341" s="1290"/>
      <c r="DE341" s="1290"/>
      <c r="DF341" s="1290"/>
      <c r="DG341" s="1290"/>
      <c r="DH341" s="1290"/>
      <c r="DI341" s="1290"/>
      <c r="DJ341" s="1290"/>
      <c r="DK341" s="1290"/>
      <c r="DL341" s="1290"/>
      <c r="DM341" s="1290"/>
      <c r="DN341" s="1290"/>
      <c r="DO341" s="1290"/>
      <c r="DP341" s="1290"/>
      <c r="DQ341" s="1290"/>
      <c r="DR341" s="1290"/>
      <c r="DS341" s="1290"/>
      <c r="DT341" s="1290"/>
      <c r="DU341" s="1290"/>
      <c r="DV341" s="1290"/>
      <c r="DW341" s="1290"/>
      <c r="DX341" s="1290"/>
      <c r="DY341" s="1290"/>
      <c r="DZ341" s="1290"/>
      <c r="EA341" s="1290"/>
      <c r="EB341" s="1290"/>
      <c r="EC341" s="1290"/>
      <c r="ED341" s="1290"/>
      <c r="EE341" s="1290"/>
      <c r="EF341" s="1290"/>
      <c r="EG341" s="1290"/>
      <c r="EH341" s="1290"/>
      <c r="EI341" s="1290"/>
      <c r="EJ341" s="1290"/>
      <c r="EK341" s="1290"/>
      <c r="EL341" s="1290"/>
      <c r="EM341" s="1290"/>
      <c r="EN341" s="1290"/>
      <c r="EO341" s="1290"/>
      <c r="EP341" s="1290"/>
      <c r="EQ341" s="1290"/>
      <c r="ER341" s="1290"/>
      <c r="ES341" s="1290"/>
      <c r="ET341" s="1290"/>
      <c r="EU341" s="1290"/>
      <c r="EV341" s="1290"/>
      <c r="EW341" s="1290"/>
      <c r="EX341" s="1290"/>
      <c r="EY341" s="1290"/>
      <c r="EZ341" s="1290"/>
      <c r="FA341" s="1290"/>
      <c r="FB341" s="1290"/>
      <c r="FC341" s="1290"/>
      <c r="FD341" s="1290"/>
      <c r="FE341" s="1290"/>
      <c r="FF341" s="1290"/>
    </row>
    <row r="343" spans="6:162" s="1292" customFormat="1" ht="15.75" customHeight="1">
      <c r="F343" s="1290"/>
      <c r="G343" s="1290"/>
      <c r="H343" s="1290"/>
      <c r="I343" s="1290"/>
      <c r="J343" s="1290"/>
      <c r="K343" s="1290"/>
      <c r="L343" s="1290"/>
      <c r="M343" s="1290"/>
      <c r="N343" s="1290"/>
      <c r="O343" s="1290"/>
      <c r="P343" s="1290"/>
      <c r="Q343" s="1290"/>
      <c r="R343" s="1290"/>
      <c r="S343" s="1290"/>
      <c r="T343" s="1290"/>
      <c r="U343" s="1290"/>
      <c r="V343" s="1290"/>
      <c r="W343" s="1290"/>
      <c r="X343" s="1290"/>
      <c r="Y343" s="1290"/>
      <c r="AA343" s="1290"/>
      <c r="AC343" s="1290"/>
      <c r="AD343" s="1290"/>
      <c r="AE343" s="1290"/>
      <c r="AF343" s="1290"/>
      <c r="AG343" s="1290"/>
      <c r="AH343" s="1291"/>
      <c r="AI343" s="1291"/>
      <c r="AJ343" s="1290"/>
      <c r="AK343" s="1290"/>
      <c r="AL343" s="1290"/>
      <c r="AM343" s="1290"/>
      <c r="AN343" s="1290"/>
      <c r="AO343" s="1290"/>
      <c r="AP343" s="1290"/>
      <c r="AQ343" s="1290"/>
      <c r="AR343" s="1290"/>
      <c r="AS343" s="1290"/>
      <c r="AT343" s="1290"/>
      <c r="AU343" s="1290"/>
      <c r="AV343" s="1290"/>
      <c r="AW343" s="1290"/>
      <c r="AX343" s="1290"/>
      <c r="AY343" s="1290"/>
      <c r="AZ343" s="1290"/>
      <c r="BA343" s="1290"/>
      <c r="BB343" s="1290"/>
      <c r="BC343" s="1290"/>
      <c r="BD343" s="1290"/>
      <c r="BE343" s="1290"/>
      <c r="BF343" s="1290"/>
      <c r="BG343" s="1290"/>
      <c r="BH343" s="1290"/>
      <c r="BI343" s="1290"/>
      <c r="BJ343" s="1290"/>
      <c r="BK343" s="1290"/>
      <c r="BL343" s="1290"/>
      <c r="BM343" s="1290"/>
      <c r="BN343" s="1290"/>
      <c r="BO343" s="1290"/>
      <c r="BP343" s="1290"/>
      <c r="BQ343" s="1290"/>
      <c r="BR343" s="1290"/>
      <c r="BS343" s="1290"/>
      <c r="BT343" s="1290"/>
      <c r="BU343" s="1290"/>
      <c r="BV343" s="1290"/>
      <c r="BW343" s="1290"/>
      <c r="BX343" s="1290"/>
      <c r="BY343" s="1290"/>
      <c r="BZ343" s="1290"/>
      <c r="CA343" s="1290"/>
      <c r="CB343" s="1290"/>
      <c r="CC343" s="1290"/>
      <c r="CD343" s="1290"/>
      <c r="CE343" s="1290"/>
      <c r="CF343" s="1290"/>
      <c r="CG343" s="1290"/>
      <c r="CH343" s="1290"/>
      <c r="CI343" s="1290"/>
      <c r="CJ343" s="1290"/>
      <c r="CK343" s="1290"/>
      <c r="CL343" s="1290"/>
      <c r="CM343" s="1290"/>
      <c r="CN343" s="1290"/>
      <c r="CO343" s="1290"/>
      <c r="CP343" s="1290"/>
      <c r="CQ343" s="1290"/>
      <c r="CR343" s="1290"/>
      <c r="CS343" s="1290"/>
      <c r="CT343" s="1290"/>
      <c r="CU343" s="1290"/>
      <c r="CV343" s="1290"/>
      <c r="CW343" s="1290"/>
      <c r="CX343" s="1290"/>
      <c r="CY343" s="1290"/>
      <c r="CZ343" s="1290"/>
      <c r="DA343" s="1290"/>
      <c r="DB343" s="1290"/>
      <c r="DC343" s="1290"/>
      <c r="DD343" s="1290"/>
      <c r="DE343" s="1290"/>
      <c r="DF343" s="1290"/>
      <c r="DG343" s="1290"/>
      <c r="DH343" s="1290"/>
      <c r="DI343" s="1290"/>
      <c r="DJ343" s="1290"/>
      <c r="DK343" s="1290"/>
      <c r="DL343" s="1290"/>
      <c r="DM343" s="1290"/>
      <c r="DN343" s="1290"/>
      <c r="DO343" s="1290"/>
      <c r="DP343" s="1290"/>
      <c r="DQ343" s="1290"/>
      <c r="DR343" s="1290"/>
      <c r="DS343" s="1290"/>
      <c r="DT343" s="1290"/>
      <c r="DU343" s="1290"/>
      <c r="DV343" s="1290"/>
      <c r="DW343" s="1290"/>
      <c r="DX343" s="1290"/>
      <c r="DY343" s="1290"/>
      <c r="DZ343" s="1290"/>
      <c r="EA343" s="1290"/>
      <c r="EB343" s="1290"/>
      <c r="EC343" s="1290"/>
      <c r="ED343" s="1290"/>
      <c r="EE343" s="1290"/>
      <c r="EF343" s="1290"/>
      <c r="EG343" s="1290"/>
      <c r="EH343" s="1290"/>
      <c r="EI343" s="1290"/>
      <c r="EJ343" s="1290"/>
      <c r="EK343" s="1290"/>
      <c r="EL343" s="1290"/>
      <c r="EM343" s="1290"/>
      <c r="EN343" s="1290"/>
      <c r="EO343" s="1290"/>
      <c r="EP343" s="1290"/>
      <c r="EQ343" s="1290"/>
      <c r="ER343" s="1290"/>
      <c r="ES343" s="1290"/>
      <c r="ET343" s="1290"/>
      <c r="EU343" s="1290"/>
      <c r="EV343" s="1290"/>
      <c r="EW343" s="1290"/>
      <c r="EX343" s="1290"/>
      <c r="EY343" s="1290"/>
      <c r="EZ343" s="1290"/>
      <c r="FA343" s="1290"/>
      <c r="FB343" s="1290"/>
      <c r="FC343" s="1290"/>
      <c r="FD343" s="1290"/>
      <c r="FE343" s="1290"/>
      <c r="FF343" s="1290"/>
    </row>
    <row r="345" spans="6:162" s="1292" customFormat="1" ht="15.75" customHeight="1">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AA345" s="1290"/>
      <c r="AC345" s="1290"/>
      <c r="AD345" s="1290"/>
      <c r="AE345" s="1290"/>
      <c r="AF345" s="1290"/>
      <c r="AG345" s="1290"/>
      <c r="AH345" s="1291"/>
      <c r="AI345" s="1291"/>
      <c r="AJ345" s="1290"/>
      <c r="AK345" s="1290"/>
      <c r="AL345" s="1290"/>
      <c r="AM345" s="1290"/>
      <c r="AN345" s="1290"/>
      <c r="AO345" s="1290"/>
      <c r="AP345" s="1290"/>
      <c r="AQ345" s="1290"/>
      <c r="AR345" s="1290"/>
      <c r="AS345" s="1290"/>
      <c r="AT345" s="1290"/>
      <c r="AU345" s="1290"/>
      <c r="AV345" s="1290"/>
      <c r="AW345" s="1290"/>
      <c r="AX345" s="1290"/>
      <c r="AY345" s="1290"/>
      <c r="AZ345" s="1290"/>
      <c r="BA345" s="1290"/>
      <c r="BB345" s="1290"/>
      <c r="BC345" s="1290"/>
      <c r="BD345" s="1290"/>
      <c r="BE345" s="1290"/>
      <c r="BF345" s="1290"/>
      <c r="BG345" s="1290"/>
      <c r="BH345" s="1290"/>
      <c r="BI345" s="1290"/>
      <c r="BJ345" s="1290"/>
      <c r="BK345" s="1290"/>
      <c r="BL345" s="1290"/>
      <c r="BM345" s="1290"/>
      <c r="BN345" s="1290"/>
      <c r="BO345" s="1290"/>
      <c r="BP345" s="1290"/>
      <c r="BQ345" s="1290"/>
      <c r="BR345" s="1290"/>
      <c r="BS345" s="1290"/>
      <c r="BT345" s="1290"/>
      <c r="BU345" s="1290"/>
      <c r="BV345" s="1290"/>
      <c r="BW345" s="1290"/>
      <c r="BX345" s="1290"/>
      <c r="BY345" s="1290"/>
      <c r="BZ345" s="1290"/>
      <c r="CA345" s="1290"/>
      <c r="CB345" s="1290"/>
      <c r="CC345" s="1290"/>
      <c r="CD345" s="1290"/>
      <c r="CE345" s="1290"/>
      <c r="CF345" s="1290"/>
      <c r="CG345" s="1290"/>
      <c r="CH345" s="1290"/>
      <c r="CI345" s="1290"/>
      <c r="CJ345" s="1290"/>
      <c r="CK345" s="1290"/>
      <c r="CL345" s="1290"/>
      <c r="CM345" s="1290"/>
      <c r="CN345" s="1290"/>
      <c r="CO345" s="1290"/>
      <c r="CP345" s="1290"/>
      <c r="CQ345" s="1290"/>
      <c r="CR345" s="1290"/>
      <c r="CS345" s="1290"/>
      <c r="CT345" s="1290"/>
      <c r="CU345" s="1290"/>
      <c r="CV345" s="1290"/>
      <c r="CW345" s="1290"/>
      <c r="CX345" s="1290"/>
      <c r="CY345" s="1290"/>
      <c r="CZ345" s="1290"/>
      <c r="DA345" s="1290"/>
      <c r="DB345" s="1290"/>
      <c r="DC345" s="1290"/>
      <c r="DD345" s="1290"/>
      <c r="DE345" s="1290"/>
      <c r="DF345" s="1290"/>
      <c r="DG345" s="1290"/>
      <c r="DH345" s="1290"/>
      <c r="DI345" s="1290"/>
      <c r="DJ345" s="1290"/>
      <c r="DK345" s="1290"/>
      <c r="DL345" s="1290"/>
      <c r="DM345" s="1290"/>
      <c r="DN345" s="1290"/>
      <c r="DO345" s="1290"/>
      <c r="DP345" s="1290"/>
      <c r="DQ345" s="1290"/>
      <c r="DR345" s="1290"/>
      <c r="DS345" s="1290"/>
      <c r="DT345" s="1290"/>
      <c r="DU345" s="1290"/>
      <c r="DV345" s="1290"/>
      <c r="DW345" s="1290"/>
      <c r="DX345" s="1290"/>
      <c r="DY345" s="1290"/>
      <c r="DZ345" s="1290"/>
      <c r="EA345" s="1290"/>
      <c r="EB345" s="1290"/>
      <c r="EC345" s="1290"/>
      <c r="ED345" s="1290"/>
      <c r="EE345" s="1290"/>
      <c r="EF345" s="1290"/>
      <c r="EG345" s="1290"/>
      <c r="EH345" s="1290"/>
      <c r="EI345" s="1290"/>
      <c r="EJ345" s="1290"/>
      <c r="EK345" s="1290"/>
      <c r="EL345" s="1290"/>
      <c r="EM345" s="1290"/>
      <c r="EN345" s="1290"/>
      <c r="EO345" s="1290"/>
      <c r="EP345" s="1290"/>
      <c r="EQ345" s="1290"/>
      <c r="ER345" s="1290"/>
      <c r="ES345" s="1290"/>
      <c r="ET345" s="1290"/>
      <c r="EU345" s="1290"/>
      <c r="EV345" s="1290"/>
      <c r="EW345" s="1290"/>
      <c r="EX345" s="1290"/>
      <c r="EY345" s="1290"/>
      <c r="EZ345" s="1290"/>
      <c r="FA345" s="1290"/>
      <c r="FB345" s="1290"/>
      <c r="FC345" s="1290"/>
      <c r="FD345" s="1290"/>
      <c r="FE345" s="1290"/>
      <c r="FF345" s="1290"/>
    </row>
    <row r="347" spans="6:162" s="1292" customFormat="1" ht="15.75" customHeight="1">
      <c r="F347" s="1290"/>
      <c r="G347" s="1290"/>
      <c r="H347" s="1290"/>
      <c r="I347" s="1290"/>
      <c r="J347" s="1290"/>
      <c r="K347" s="1290"/>
      <c r="L347" s="1290"/>
      <c r="M347" s="1290"/>
      <c r="N347" s="1290"/>
      <c r="O347" s="1290"/>
      <c r="P347" s="1290"/>
      <c r="Q347" s="1290"/>
      <c r="R347" s="1290"/>
      <c r="S347" s="1290"/>
      <c r="T347" s="1290"/>
      <c r="U347" s="1290"/>
      <c r="V347" s="1290"/>
      <c r="W347" s="1290"/>
      <c r="X347" s="1290"/>
      <c r="Y347" s="1290"/>
      <c r="AA347" s="1290"/>
      <c r="AC347" s="1290"/>
      <c r="AD347" s="1290"/>
      <c r="AE347" s="1290"/>
      <c r="AF347" s="1290"/>
      <c r="AG347" s="1290"/>
      <c r="AH347" s="1291"/>
      <c r="AI347" s="1291"/>
      <c r="AJ347" s="1290"/>
      <c r="AK347" s="1290"/>
      <c r="AL347" s="1290"/>
      <c r="AM347" s="1290"/>
      <c r="AN347" s="1290"/>
      <c r="AO347" s="1290"/>
      <c r="AP347" s="1290"/>
      <c r="AQ347" s="1290"/>
      <c r="AR347" s="1290"/>
      <c r="AS347" s="1290"/>
      <c r="AT347" s="1290"/>
      <c r="AU347" s="1290"/>
      <c r="AV347" s="1290"/>
      <c r="AW347" s="1290"/>
      <c r="AX347" s="1290"/>
      <c r="AY347" s="1290"/>
      <c r="AZ347" s="1290"/>
      <c r="BA347" s="1290"/>
      <c r="BB347" s="1290"/>
      <c r="BC347" s="1290"/>
      <c r="BD347" s="1290"/>
      <c r="BE347" s="1290"/>
      <c r="BF347" s="1290"/>
      <c r="BG347" s="1290"/>
      <c r="BH347" s="1290"/>
      <c r="BI347" s="1290"/>
      <c r="BJ347" s="1290"/>
      <c r="BK347" s="1290"/>
      <c r="BL347" s="1290"/>
      <c r="BM347" s="1290"/>
      <c r="BN347" s="1290"/>
      <c r="BO347" s="1290"/>
      <c r="BP347" s="1290"/>
      <c r="BQ347" s="1290"/>
      <c r="BR347" s="1290"/>
      <c r="BS347" s="1290"/>
      <c r="BT347" s="1290"/>
      <c r="BU347" s="1290"/>
      <c r="BV347" s="1290"/>
      <c r="BW347" s="1290"/>
      <c r="BX347" s="1290"/>
      <c r="BY347" s="1290"/>
      <c r="BZ347" s="1290"/>
      <c r="CA347" s="1290"/>
      <c r="CB347" s="1290"/>
      <c r="CC347" s="1290"/>
      <c r="CD347" s="1290"/>
      <c r="CE347" s="1290"/>
      <c r="CF347" s="1290"/>
      <c r="CG347" s="1290"/>
      <c r="CH347" s="1290"/>
      <c r="CI347" s="1290"/>
      <c r="CJ347" s="1290"/>
      <c r="CK347" s="1290"/>
      <c r="CL347" s="1290"/>
      <c r="CM347" s="1290"/>
      <c r="CN347" s="1290"/>
      <c r="CO347" s="1290"/>
      <c r="CP347" s="1290"/>
      <c r="CQ347" s="1290"/>
      <c r="CR347" s="1290"/>
      <c r="CS347" s="1290"/>
      <c r="CT347" s="1290"/>
      <c r="CU347" s="1290"/>
      <c r="CV347" s="1290"/>
      <c r="CW347" s="1290"/>
      <c r="CX347" s="1290"/>
      <c r="CY347" s="1290"/>
      <c r="CZ347" s="1290"/>
      <c r="DA347" s="1290"/>
      <c r="DB347" s="1290"/>
      <c r="DC347" s="1290"/>
      <c r="DD347" s="1290"/>
      <c r="DE347" s="1290"/>
      <c r="DF347" s="1290"/>
      <c r="DG347" s="1290"/>
      <c r="DH347" s="1290"/>
      <c r="DI347" s="1290"/>
      <c r="DJ347" s="1290"/>
      <c r="DK347" s="1290"/>
      <c r="DL347" s="1290"/>
      <c r="DM347" s="1290"/>
      <c r="DN347" s="1290"/>
      <c r="DO347" s="1290"/>
      <c r="DP347" s="1290"/>
      <c r="DQ347" s="1290"/>
      <c r="DR347" s="1290"/>
      <c r="DS347" s="1290"/>
      <c r="DT347" s="1290"/>
      <c r="DU347" s="1290"/>
      <c r="DV347" s="1290"/>
      <c r="DW347" s="1290"/>
      <c r="DX347" s="1290"/>
      <c r="DY347" s="1290"/>
      <c r="DZ347" s="1290"/>
      <c r="EA347" s="1290"/>
      <c r="EB347" s="1290"/>
      <c r="EC347" s="1290"/>
      <c r="ED347" s="1290"/>
      <c r="EE347" s="1290"/>
      <c r="EF347" s="1290"/>
      <c r="EG347" s="1290"/>
      <c r="EH347" s="1290"/>
      <c r="EI347" s="1290"/>
      <c r="EJ347" s="1290"/>
      <c r="EK347" s="1290"/>
      <c r="EL347" s="1290"/>
      <c r="EM347" s="1290"/>
      <c r="EN347" s="1290"/>
      <c r="EO347" s="1290"/>
      <c r="EP347" s="1290"/>
      <c r="EQ347" s="1290"/>
      <c r="ER347" s="1290"/>
      <c r="ES347" s="1290"/>
      <c r="ET347" s="1290"/>
      <c r="EU347" s="1290"/>
      <c r="EV347" s="1290"/>
      <c r="EW347" s="1290"/>
      <c r="EX347" s="1290"/>
      <c r="EY347" s="1290"/>
      <c r="EZ347" s="1290"/>
      <c r="FA347" s="1290"/>
      <c r="FB347" s="1290"/>
      <c r="FC347" s="1290"/>
      <c r="FD347" s="1290"/>
      <c r="FE347" s="1290"/>
      <c r="FF347" s="1290"/>
    </row>
    <row r="349" spans="6:162" s="1292" customFormat="1" ht="15.75" customHeight="1">
      <c r="F349" s="1290"/>
      <c r="G349" s="1290"/>
      <c r="H349" s="1290"/>
      <c r="I349" s="1290"/>
      <c r="J349" s="1290"/>
      <c r="K349" s="1290"/>
      <c r="L349" s="1290"/>
      <c r="M349" s="1290"/>
      <c r="N349" s="1290"/>
      <c r="O349" s="1290"/>
      <c r="P349" s="1290"/>
      <c r="Q349" s="1290"/>
      <c r="R349" s="1290"/>
      <c r="S349" s="1290"/>
      <c r="T349" s="1290"/>
      <c r="U349" s="1290"/>
      <c r="V349" s="1290"/>
      <c r="W349" s="1290"/>
      <c r="X349" s="1290"/>
      <c r="Y349" s="1290"/>
      <c r="AA349" s="1290"/>
      <c r="AC349" s="1290"/>
      <c r="AD349" s="1290"/>
      <c r="AE349" s="1290"/>
      <c r="AF349" s="1290"/>
      <c r="AG349" s="1290"/>
      <c r="AH349" s="1291"/>
      <c r="AI349" s="1291"/>
      <c r="AJ349" s="1290"/>
      <c r="AK349" s="1290"/>
      <c r="AL349" s="1290"/>
      <c r="AM349" s="1290"/>
      <c r="AN349" s="1290"/>
      <c r="AO349" s="1290"/>
      <c r="AP349" s="1290"/>
      <c r="AQ349" s="1290"/>
      <c r="AR349" s="1290"/>
      <c r="AS349" s="1290"/>
      <c r="AT349" s="1290"/>
      <c r="AU349" s="1290"/>
      <c r="AV349" s="1290"/>
      <c r="AW349" s="1290"/>
      <c r="AX349" s="1290"/>
      <c r="AY349" s="1290"/>
      <c r="AZ349" s="1290"/>
      <c r="BA349" s="1290"/>
      <c r="BB349" s="1290"/>
      <c r="BC349" s="1290"/>
      <c r="BD349" s="1290"/>
      <c r="BE349" s="1290"/>
      <c r="BF349" s="1290"/>
      <c r="BG349" s="1290"/>
      <c r="BH349" s="1290"/>
      <c r="BI349" s="1290"/>
      <c r="BJ349" s="1290"/>
      <c r="BK349" s="1290"/>
      <c r="BL349" s="1290"/>
      <c r="BM349" s="1290"/>
      <c r="BN349" s="1290"/>
      <c r="BO349" s="1290"/>
      <c r="BP349" s="1290"/>
      <c r="BQ349" s="1290"/>
      <c r="BR349" s="1290"/>
      <c r="BS349" s="1290"/>
      <c r="BT349" s="1290"/>
      <c r="BU349" s="1290"/>
      <c r="BV349" s="1290"/>
      <c r="BW349" s="1290"/>
      <c r="BX349" s="1290"/>
      <c r="BY349" s="1290"/>
      <c r="BZ349" s="1290"/>
      <c r="CA349" s="1290"/>
      <c r="CB349" s="1290"/>
      <c r="CC349" s="1290"/>
      <c r="CD349" s="1290"/>
      <c r="CE349" s="1290"/>
      <c r="CF349" s="1290"/>
      <c r="CG349" s="1290"/>
      <c r="CH349" s="1290"/>
      <c r="CI349" s="1290"/>
      <c r="CJ349" s="1290"/>
      <c r="CK349" s="1290"/>
      <c r="CL349" s="1290"/>
      <c r="CM349" s="1290"/>
      <c r="CN349" s="1290"/>
      <c r="CO349" s="1290"/>
      <c r="CP349" s="1290"/>
      <c r="CQ349" s="1290"/>
      <c r="CR349" s="1290"/>
      <c r="CS349" s="1290"/>
      <c r="CT349" s="1290"/>
      <c r="CU349" s="1290"/>
      <c r="CV349" s="1290"/>
      <c r="CW349" s="1290"/>
      <c r="CX349" s="1290"/>
      <c r="CY349" s="1290"/>
      <c r="CZ349" s="1290"/>
      <c r="DA349" s="1290"/>
      <c r="DB349" s="1290"/>
      <c r="DC349" s="1290"/>
      <c r="DD349" s="1290"/>
      <c r="DE349" s="1290"/>
      <c r="DF349" s="1290"/>
      <c r="DG349" s="1290"/>
      <c r="DH349" s="1290"/>
      <c r="DI349" s="1290"/>
      <c r="DJ349" s="1290"/>
      <c r="DK349" s="1290"/>
      <c r="DL349" s="1290"/>
      <c r="DM349" s="1290"/>
      <c r="DN349" s="1290"/>
      <c r="DO349" s="1290"/>
      <c r="DP349" s="1290"/>
      <c r="DQ349" s="1290"/>
      <c r="DR349" s="1290"/>
      <c r="DS349" s="1290"/>
      <c r="DT349" s="1290"/>
      <c r="DU349" s="1290"/>
      <c r="DV349" s="1290"/>
      <c r="DW349" s="1290"/>
      <c r="DX349" s="1290"/>
      <c r="DY349" s="1290"/>
      <c r="DZ349" s="1290"/>
      <c r="EA349" s="1290"/>
      <c r="EB349" s="1290"/>
      <c r="EC349" s="1290"/>
      <c r="ED349" s="1290"/>
      <c r="EE349" s="1290"/>
      <c r="EF349" s="1290"/>
      <c r="EG349" s="1290"/>
      <c r="EH349" s="1290"/>
      <c r="EI349" s="1290"/>
      <c r="EJ349" s="1290"/>
      <c r="EK349" s="1290"/>
      <c r="EL349" s="1290"/>
      <c r="EM349" s="1290"/>
      <c r="EN349" s="1290"/>
      <c r="EO349" s="1290"/>
      <c r="EP349" s="1290"/>
      <c r="EQ349" s="1290"/>
      <c r="ER349" s="1290"/>
      <c r="ES349" s="1290"/>
      <c r="ET349" s="1290"/>
      <c r="EU349" s="1290"/>
      <c r="EV349" s="1290"/>
      <c r="EW349" s="1290"/>
      <c r="EX349" s="1290"/>
      <c r="EY349" s="1290"/>
      <c r="EZ349" s="1290"/>
      <c r="FA349" s="1290"/>
      <c r="FB349" s="1290"/>
      <c r="FC349" s="1290"/>
      <c r="FD349" s="1290"/>
      <c r="FE349" s="1290"/>
      <c r="FF349" s="1290"/>
    </row>
    <row r="351" spans="6:162" s="1292" customFormat="1" ht="15.75" customHeight="1">
      <c r="F351" s="1290"/>
      <c r="G351" s="1290"/>
      <c r="H351" s="1290"/>
      <c r="I351" s="1290"/>
      <c r="J351" s="1290"/>
      <c r="K351" s="1290"/>
      <c r="L351" s="1290"/>
      <c r="M351" s="1290"/>
      <c r="N351" s="1290"/>
      <c r="O351" s="1290"/>
      <c r="P351" s="1290"/>
      <c r="Q351" s="1290"/>
      <c r="R351" s="1290"/>
      <c r="S351" s="1290"/>
      <c r="T351" s="1290"/>
      <c r="U351" s="1290"/>
      <c r="V351" s="1290"/>
      <c r="W351" s="1290"/>
      <c r="X351" s="1290"/>
      <c r="Y351" s="1290"/>
      <c r="AA351" s="1290"/>
      <c r="AC351" s="1290"/>
      <c r="AD351" s="1290"/>
      <c r="AE351" s="1290"/>
      <c r="AF351" s="1290"/>
      <c r="AG351" s="1290"/>
      <c r="AH351" s="1291"/>
      <c r="AI351" s="1291"/>
      <c r="AJ351" s="1290"/>
      <c r="AK351" s="1290"/>
      <c r="AL351" s="1290"/>
      <c r="AM351" s="1290"/>
      <c r="AN351" s="1290"/>
      <c r="AO351" s="1290"/>
      <c r="AP351" s="1290"/>
      <c r="AQ351" s="1290"/>
      <c r="AR351" s="1290"/>
      <c r="AS351" s="1290"/>
      <c r="AT351" s="1290"/>
      <c r="AU351" s="1290"/>
      <c r="AV351" s="1290"/>
      <c r="AW351" s="1290"/>
      <c r="AX351" s="1290"/>
      <c r="AY351" s="1290"/>
      <c r="AZ351" s="1290"/>
      <c r="BA351" s="1290"/>
      <c r="BB351" s="1290"/>
      <c r="BC351" s="1290"/>
      <c r="BD351" s="1290"/>
      <c r="BE351" s="1290"/>
      <c r="BF351" s="1290"/>
      <c r="BG351" s="1290"/>
      <c r="BH351" s="1290"/>
      <c r="BI351" s="1290"/>
      <c r="BJ351" s="1290"/>
      <c r="BK351" s="1290"/>
      <c r="BL351" s="1290"/>
      <c r="BM351" s="1290"/>
      <c r="BN351" s="1290"/>
      <c r="BO351" s="1290"/>
      <c r="BP351" s="1290"/>
      <c r="BQ351" s="1290"/>
      <c r="BR351" s="1290"/>
      <c r="BS351" s="1290"/>
      <c r="BT351" s="1290"/>
      <c r="BU351" s="1290"/>
      <c r="BV351" s="1290"/>
      <c r="BW351" s="1290"/>
      <c r="BX351" s="1290"/>
      <c r="BY351" s="1290"/>
      <c r="BZ351" s="1290"/>
      <c r="CA351" s="1290"/>
      <c r="CB351" s="1290"/>
      <c r="CC351" s="1290"/>
      <c r="CD351" s="1290"/>
      <c r="CE351" s="1290"/>
      <c r="CF351" s="1290"/>
      <c r="CG351" s="1290"/>
      <c r="CH351" s="1290"/>
      <c r="CI351" s="1290"/>
      <c r="CJ351" s="1290"/>
      <c r="CK351" s="1290"/>
      <c r="CL351" s="1290"/>
      <c r="CM351" s="1290"/>
      <c r="CN351" s="1290"/>
      <c r="CO351" s="1290"/>
      <c r="CP351" s="1290"/>
      <c r="CQ351" s="1290"/>
      <c r="CR351" s="1290"/>
      <c r="CS351" s="1290"/>
      <c r="CT351" s="1290"/>
      <c r="CU351" s="1290"/>
      <c r="CV351" s="1290"/>
      <c r="CW351" s="1290"/>
      <c r="CX351" s="1290"/>
      <c r="CY351" s="1290"/>
      <c r="CZ351" s="1290"/>
      <c r="DA351" s="1290"/>
      <c r="DB351" s="1290"/>
      <c r="DC351" s="1290"/>
      <c r="DD351" s="1290"/>
      <c r="DE351" s="1290"/>
      <c r="DF351" s="1290"/>
      <c r="DG351" s="1290"/>
      <c r="DH351" s="1290"/>
      <c r="DI351" s="1290"/>
      <c r="DJ351" s="1290"/>
      <c r="DK351" s="1290"/>
      <c r="DL351" s="1290"/>
      <c r="DM351" s="1290"/>
      <c r="DN351" s="1290"/>
      <c r="DO351" s="1290"/>
      <c r="DP351" s="1290"/>
      <c r="DQ351" s="1290"/>
      <c r="DR351" s="1290"/>
      <c r="DS351" s="1290"/>
      <c r="DT351" s="1290"/>
      <c r="DU351" s="1290"/>
      <c r="DV351" s="1290"/>
      <c r="DW351" s="1290"/>
      <c r="DX351" s="1290"/>
      <c r="DY351" s="1290"/>
      <c r="DZ351" s="1290"/>
      <c r="EA351" s="1290"/>
      <c r="EB351" s="1290"/>
      <c r="EC351" s="1290"/>
      <c r="ED351" s="1290"/>
      <c r="EE351" s="1290"/>
      <c r="EF351" s="1290"/>
      <c r="EG351" s="1290"/>
      <c r="EH351" s="1290"/>
      <c r="EI351" s="1290"/>
      <c r="EJ351" s="1290"/>
      <c r="EK351" s="1290"/>
      <c r="EL351" s="1290"/>
      <c r="EM351" s="1290"/>
      <c r="EN351" s="1290"/>
      <c r="EO351" s="1290"/>
      <c r="EP351" s="1290"/>
      <c r="EQ351" s="1290"/>
      <c r="ER351" s="1290"/>
      <c r="ES351" s="1290"/>
      <c r="ET351" s="1290"/>
      <c r="EU351" s="1290"/>
      <c r="EV351" s="1290"/>
      <c r="EW351" s="1290"/>
      <c r="EX351" s="1290"/>
      <c r="EY351" s="1290"/>
      <c r="EZ351" s="1290"/>
      <c r="FA351" s="1290"/>
      <c r="FB351" s="1290"/>
      <c r="FC351" s="1290"/>
      <c r="FD351" s="1290"/>
      <c r="FE351" s="1290"/>
      <c r="FF351" s="1290"/>
    </row>
    <row r="353" spans="6:162" s="1292" customFormat="1" ht="15.75" customHeight="1">
      <c r="F353" s="1290"/>
      <c r="G353" s="1290"/>
      <c r="H353" s="1290"/>
      <c r="I353" s="1290"/>
      <c r="J353" s="1290"/>
      <c r="K353" s="1290"/>
      <c r="L353" s="1290"/>
      <c r="M353" s="1290"/>
      <c r="N353" s="1290"/>
      <c r="O353" s="1290"/>
      <c r="P353" s="1290"/>
      <c r="Q353" s="1290"/>
      <c r="R353" s="1290"/>
      <c r="S353" s="1290"/>
      <c r="T353" s="1290"/>
      <c r="U353" s="1290"/>
      <c r="V353" s="1290"/>
      <c r="W353" s="1290"/>
      <c r="X353" s="1290"/>
      <c r="Y353" s="1290"/>
      <c r="AA353" s="1290"/>
      <c r="AC353" s="1290"/>
      <c r="AD353" s="1290"/>
      <c r="AE353" s="1290"/>
      <c r="AF353" s="1290"/>
      <c r="AG353" s="1290"/>
      <c r="AH353" s="1291"/>
      <c r="AI353" s="1291"/>
      <c r="AJ353" s="1290"/>
      <c r="AK353" s="1290"/>
      <c r="AL353" s="1290"/>
      <c r="AM353" s="1290"/>
      <c r="AN353" s="1290"/>
      <c r="AO353" s="1290"/>
      <c r="AP353" s="1290"/>
      <c r="AQ353" s="1290"/>
      <c r="AR353" s="1290"/>
      <c r="AS353" s="1290"/>
      <c r="AT353" s="1290"/>
      <c r="AU353" s="1290"/>
      <c r="AV353" s="1290"/>
      <c r="AW353" s="1290"/>
      <c r="AX353" s="1290"/>
      <c r="AY353" s="1290"/>
      <c r="AZ353" s="1290"/>
      <c r="BA353" s="1290"/>
      <c r="BB353" s="1290"/>
      <c r="BC353" s="1290"/>
      <c r="BD353" s="1290"/>
      <c r="BE353" s="1290"/>
      <c r="BF353" s="1290"/>
      <c r="BG353" s="1290"/>
      <c r="BH353" s="1290"/>
      <c r="BI353" s="1290"/>
      <c r="BJ353" s="1290"/>
      <c r="BK353" s="1290"/>
      <c r="BL353" s="1290"/>
      <c r="BM353" s="1290"/>
      <c r="BN353" s="1290"/>
      <c r="BO353" s="1290"/>
      <c r="BP353" s="1290"/>
      <c r="BQ353" s="1290"/>
      <c r="BR353" s="1290"/>
      <c r="BS353" s="1290"/>
      <c r="BT353" s="1290"/>
      <c r="BU353" s="1290"/>
      <c r="BV353" s="1290"/>
      <c r="BW353" s="1290"/>
      <c r="BX353" s="1290"/>
      <c r="BY353" s="1290"/>
      <c r="BZ353" s="1290"/>
      <c r="CA353" s="1290"/>
      <c r="CB353" s="1290"/>
      <c r="CC353" s="1290"/>
      <c r="CD353" s="1290"/>
      <c r="CE353" s="1290"/>
      <c r="CF353" s="1290"/>
      <c r="CG353" s="1290"/>
      <c r="CH353" s="1290"/>
      <c r="CI353" s="1290"/>
      <c r="CJ353" s="1290"/>
      <c r="CK353" s="1290"/>
      <c r="CL353" s="1290"/>
      <c r="CM353" s="1290"/>
      <c r="CN353" s="1290"/>
      <c r="CO353" s="1290"/>
      <c r="CP353" s="1290"/>
      <c r="CQ353" s="1290"/>
      <c r="CR353" s="1290"/>
      <c r="CS353" s="1290"/>
      <c r="CT353" s="1290"/>
      <c r="CU353" s="1290"/>
      <c r="CV353" s="1290"/>
      <c r="CW353" s="1290"/>
      <c r="CX353" s="1290"/>
      <c r="CY353" s="1290"/>
      <c r="CZ353" s="1290"/>
      <c r="DA353" s="1290"/>
      <c r="DB353" s="1290"/>
      <c r="DC353" s="1290"/>
      <c r="DD353" s="1290"/>
      <c r="DE353" s="1290"/>
      <c r="DF353" s="1290"/>
      <c r="DG353" s="1290"/>
      <c r="DH353" s="1290"/>
      <c r="DI353" s="1290"/>
      <c r="DJ353" s="1290"/>
      <c r="DK353" s="1290"/>
      <c r="DL353" s="1290"/>
      <c r="DM353" s="1290"/>
      <c r="DN353" s="1290"/>
      <c r="DO353" s="1290"/>
      <c r="DP353" s="1290"/>
      <c r="DQ353" s="1290"/>
      <c r="DR353" s="1290"/>
      <c r="DS353" s="1290"/>
      <c r="DT353" s="1290"/>
      <c r="DU353" s="1290"/>
      <c r="DV353" s="1290"/>
      <c r="DW353" s="1290"/>
      <c r="DX353" s="1290"/>
      <c r="DY353" s="1290"/>
      <c r="DZ353" s="1290"/>
      <c r="EA353" s="1290"/>
      <c r="EB353" s="1290"/>
      <c r="EC353" s="1290"/>
      <c r="ED353" s="1290"/>
      <c r="EE353" s="1290"/>
      <c r="EF353" s="1290"/>
      <c r="EG353" s="1290"/>
      <c r="EH353" s="1290"/>
      <c r="EI353" s="1290"/>
      <c r="EJ353" s="1290"/>
      <c r="EK353" s="1290"/>
      <c r="EL353" s="1290"/>
      <c r="EM353" s="1290"/>
      <c r="EN353" s="1290"/>
      <c r="EO353" s="1290"/>
      <c r="EP353" s="1290"/>
      <c r="EQ353" s="1290"/>
      <c r="ER353" s="1290"/>
      <c r="ES353" s="1290"/>
      <c r="ET353" s="1290"/>
      <c r="EU353" s="1290"/>
      <c r="EV353" s="1290"/>
      <c r="EW353" s="1290"/>
      <c r="EX353" s="1290"/>
      <c r="EY353" s="1290"/>
      <c r="EZ353" s="1290"/>
      <c r="FA353" s="1290"/>
      <c r="FB353" s="1290"/>
      <c r="FC353" s="1290"/>
      <c r="FD353" s="1290"/>
      <c r="FE353" s="1290"/>
      <c r="FF353" s="1290"/>
    </row>
    <row r="355" spans="6:162" s="1292" customFormat="1" ht="15.75" customHeight="1">
      <c r="F355" s="1290"/>
      <c r="G355" s="1290"/>
      <c r="H355" s="1290"/>
      <c r="I355" s="1290"/>
      <c r="J355" s="1290"/>
      <c r="K355" s="1290"/>
      <c r="L355" s="1290"/>
      <c r="M355" s="1290"/>
      <c r="N355" s="1290"/>
      <c r="O355" s="1290"/>
      <c r="P355" s="1290"/>
      <c r="Q355" s="1290"/>
      <c r="R355" s="1290"/>
      <c r="S355" s="1290"/>
      <c r="T355" s="1290"/>
      <c r="U355" s="1290"/>
      <c r="V355" s="1290"/>
      <c r="W355" s="1290"/>
      <c r="X355" s="1290"/>
      <c r="Y355" s="1290"/>
      <c r="AA355" s="1290"/>
      <c r="AC355" s="1290"/>
      <c r="AD355" s="1290"/>
      <c r="AE355" s="1290"/>
      <c r="AF355" s="1290"/>
      <c r="AG355" s="1290"/>
      <c r="AH355" s="1291"/>
      <c r="AI355" s="1291"/>
      <c r="AJ355" s="1290"/>
      <c r="AK355" s="1290"/>
      <c r="AL355" s="1290"/>
      <c r="AM355" s="1290"/>
      <c r="AN355" s="1290"/>
      <c r="AO355" s="1290"/>
      <c r="AP355" s="1290"/>
      <c r="AQ355" s="1290"/>
      <c r="AR355" s="1290"/>
      <c r="AS355" s="1290"/>
      <c r="AT355" s="1290"/>
      <c r="AU355" s="1290"/>
      <c r="AV355" s="1290"/>
      <c r="AW355" s="1290"/>
      <c r="AX355" s="1290"/>
      <c r="AY355" s="1290"/>
      <c r="AZ355" s="1290"/>
      <c r="BA355" s="1290"/>
      <c r="BB355" s="1290"/>
      <c r="BC355" s="1290"/>
      <c r="BD355" s="1290"/>
      <c r="BE355" s="1290"/>
      <c r="BF355" s="1290"/>
      <c r="BG355" s="1290"/>
      <c r="BH355" s="1290"/>
      <c r="BI355" s="1290"/>
      <c r="BJ355" s="1290"/>
      <c r="BK355" s="1290"/>
      <c r="BL355" s="1290"/>
      <c r="BM355" s="1290"/>
      <c r="BN355" s="1290"/>
      <c r="BO355" s="1290"/>
      <c r="BP355" s="1290"/>
      <c r="BQ355" s="1290"/>
      <c r="BR355" s="1290"/>
      <c r="BS355" s="1290"/>
      <c r="BT355" s="1290"/>
      <c r="BU355" s="1290"/>
      <c r="BV355" s="1290"/>
      <c r="BW355" s="1290"/>
      <c r="BX355" s="1290"/>
      <c r="BY355" s="1290"/>
      <c r="BZ355" s="1290"/>
      <c r="CA355" s="1290"/>
      <c r="CB355" s="1290"/>
      <c r="CC355" s="1290"/>
      <c r="CD355" s="1290"/>
      <c r="CE355" s="1290"/>
      <c r="CF355" s="1290"/>
      <c r="CG355" s="1290"/>
      <c r="CH355" s="1290"/>
      <c r="CI355" s="1290"/>
      <c r="CJ355" s="1290"/>
      <c r="CK355" s="1290"/>
      <c r="CL355" s="1290"/>
      <c r="CM355" s="1290"/>
      <c r="CN355" s="1290"/>
      <c r="CO355" s="1290"/>
      <c r="CP355" s="1290"/>
      <c r="CQ355" s="1290"/>
      <c r="CR355" s="1290"/>
      <c r="CS355" s="1290"/>
      <c r="CT355" s="1290"/>
      <c r="CU355" s="1290"/>
      <c r="CV355" s="1290"/>
      <c r="CW355" s="1290"/>
      <c r="CX355" s="1290"/>
      <c r="CY355" s="1290"/>
      <c r="CZ355" s="1290"/>
      <c r="DA355" s="1290"/>
      <c r="DB355" s="1290"/>
      <c r="DC355" s="1290"/>
      <c r="DD355" s="1290"/>
      <c r="DE355" s="1290"/>
      <c r="DF355" s="1290"/>
      <c r="DG355" s="1290"/>
      <c r="DH355" s="1290"/>
      <c r="DI355" s="1290"/>
      <c r="DJ355" s="1290"/>
      <c r="DK355" s="1290"/>
      <c r="DL355" s="1290"/>
      <c r="DM355" s="1290"/>
      <c r="DN355" s="1290"/>
      <c r="DO355" s="1290"/>
      <c r="DP355" s="1290"/>
      <c r="DQ355" s="1290"/>
      <c r="DR355" s="1290"/>
      <c r="DS355" s="1290"/>
      <c r="DT355" s="1290"/>
      <c r="DU355" s="1290"/>
      <c r="DV355" s="1290"/>
      <c r="DW355" s="1290"/>
      <c r="DX355" s="1290"/>
      <c r="DY355" s="1290"/>
      <c r="DZ355" s="1290"/>
      <c r="EA355" s="1290"/>
      <c r="EB355" s="1290"/>
      <c r="EC355" s="1290"/>
      <c r="ED355" s="1290"/>
      <c r="EE355" s="1290"/>
      <c r="EF355" s="1290"/>
      <c r="EG355" s="1290"/>
      <c r="EH355" s="1290"/>
      <c r="EI355" s="1290"/>
      <c r="EJ355" s="1290"/>
      <c r="EK355" s="1290"/>
      <c r="EL355" s="1290"/>
      <c r="EM355" s="1290"/>
      <c r="EN355" s="1290"/>
      <c r="EO355" s="1290"/>
      <c r="EP355" s="1290"/>
      <c r="EQ355" s="1290"/>
      <c r="ER355" s="1290"/>
      <c r="ES355" s="1290"/>
      <c r="ET355" s="1290"/>
      <c r="EU355" s="1290"/>
      <c r="EV355" s="1290"/>
      <c r="EW355" s="1290"/>
      <c r="EX355" s="1290"/>
      <c r="EY355" s="1290"/>
      <c r="EZ355" s="1290"/>
      <c r="FA355" s="1290"/>
      <c r="FB355" s="1290"/>
      <c r="FC355" s="1290"/>
      <c r="FD355" s="1290"/>
      <c r="FE355" s="1290"/>
      <c r="FF355" s="1290"/>
    </row>
    <row r="357" spans="6:162" s="1292" customFormat="1" ht="15.75" customHeight="1">
      <c r="F357" s="1290"/>
      <c r="G357" s="1290"/>
      <c r="H357" s="1290"/>
      <c r="I357" s="1290"/>
      <c r="J357" s="1290"/>
      <c r="K357" s="1290"/>
      <c r="L357" s="1290"/>
      <c r="M357" s="1290"/>
      <c r="N357" s="1290"/>
      <c r="O357" s="1290"/>
      <c r="P357" s="1290"/>
      <c r="Q357" s="1290"/>
      <c r="R357" s="1290"/>
      <c r="S357" s="1290"/>
      <c r="T357" s="1290"/>
      <c r="U357" s="1290"/>
      <c r="V357" s="1290"/>
      <c r="W357" s="1290"/>
      <c r="X357" s="1290"/>
      <c r="Y357" s="1290"/>
      <c r="AA357" s="1290"/>
      <c r="AC357" s="1290"/>
      <c r="AD357" s="1290"/>
      <c r="AE357" s="1290"/>
      <c r="AF357" s="1290"/>
      <c r="AG357" s="1290"/>
      <c r="AH357" s="1291"/>
      <c r="AI357" s="1291"/>
      <c r="AJ357" s="1290"/>
      <c r="AK357" s="1290"/>
      <c r="AL357" s="1290"/>
      <c r="AM357" s="1290"/>
      <c r="AN357" s="1290"/>
      <c r="AO357" s="1290"/>
      <c r="AP357" s="1290"/>
      <c r="AQ357" s="1290"/>
      <c r="AR357" s="1290"/>
      <c r="AS357" s="1290"/>
      <c r="AT357" s="1290"/>
      <c r="AU357" s="1290"/>
      <c r="AV357" s="1290"/>
      <c r="AW357" s="1290"/>
      <c r="AX357" s="1290"/>
      <c r="AY357" s="1290"/>
      <c r="AZ357" s="1290"/>
      <c r="BA357" s="1290"/>
      <c r="BB357" s="1290"/>
      <c r="BC357" s="1290"/>
      <c r="BD357" s="1290"/>
      <c r="BE357" s="1290"/>
      <c r="BF357" s="1290"/>
      <c r="BG357" s="1290"/>
      <c r="BH357" s="1290"/>
      <c r="BI357" s="1290"/>
      <c r="BJ357" s="1290"/>
      <c r="BK357" s="1290"/>
      <c r="BL357" s="1290"/>
      <c r="BM357" s="1290"/>
      <c r="BN357" s="1290"/>
      <c r="BO357" s="1290"/>
      <c r="BP357" s="1290"/>
      <c r="BQ357" s="1290"/>
      <c r="BR357" s="1290"/>
      <c r="BS357" s="1290"/>
      <c r="BT357" s="1290"/>
      <c r="BU357" s="1290"/>
      <c r="BV357" s="1290"/>
      <c r="BW357" s="1290"/>
      <c r="BX357" s="1290"/>
      <c r="BY357" s="1290"/>
      <c r="BZ357" s="1290"/>
      <c r="CA357" s="1290"/>
      <c r="CB357" s="1290"/>
      <c r="CC357" s="1290"/>
      <c r="CD357" s="1290"/>
      <c r="CE357" s="1290"/>
      <c r="CF357" s="1290"/>
      <c r="CG357" s="1290"/>
      <c r="CH357" s="1290"/>
      <c r="CI357" s="1290"/>
      <c r="CJ357" s="1290"/>
      <c r="CK357" s="1290"/>
      <c r="CL357" s="1290"/>
      <c r="CM357" s="1290"/>
      <c r="CN357" s="1290"/>
      <c r="CO357" s="1290"/>
      <c r="CP357" s="1290"/>
      <c r="CQ357" s="1290"/>
      <c r="CR357" s="1290"/>
      <c r="CS357" s="1290"/>
      <c r="CT357" s="1290"/>
      <c r="CU357" s="1290"/>
      <c r="CV357" s="1290"/>
      <c r="CW357" s="1290"/>
      <c r="CX357" s="1290"/>
      <c r="CY357" s="1290"/>
      <c r="CZ357" s="1290"/>
      <c r="DA357" s="1290"/>
      <c r="DB357" s="1290"/>
      <c r="DC357" s="1290"/>
      <c r="DD357" s="1290"/>
      <c r="DE357" s="1290"/>
      <c r="DF357" s="1290"/>
      <c r="DG357" s="1290"/>
      <c r="DH357" s="1290"/>
      <c r="DI357" s="1290"/>
      <c r="DJ357" s="1290"/>
      <c r="DK357" s="1290"/>
      <c r="DL357" s="1290"/>
      <c r="DM357" s="1290"/>
      <c r="DN357" s="1290"/>
      <c r="DO357" s="1290"/>
      <c r="DP357" s="1290"/>
      <c r="DQ357" s="1290"/>
      <c r="DR357" s="1290"/>
      <c r="DS357" s="1290"/>
      <c r="DT357" s="1290"/>
      <c r="DU357" s="1290"/>
      <c r="DV357" s="1290"/>
      <c r="DW357" s="1290"/>
      <c r="DX357" s="1290"/>
      <c r="DY357" s="1290"/>
      <c r="DZ357" s="1290"/>
      <c r="EA357" s="1290"/>
      <c r="EB357" s="1290"/>
      <c r="EC357" s="1290"/>
      <c r="ED357" s="1290"/>
      <c r="EE357" s="1290"/>
      <c r="EF357" s="1290"/>
      <c r="EG357" s="1290"/>
      <c r="EH357" s="1290"/>
      <c r="EI357" s="1290"/>
      <c r="EJ357" s="1290"/>
      <c r="EK357" s="1290"/>
      <c r="EL357" s="1290"/>
      <c r="EM357" s="1290"/>
      <c r="EN357" s="1290"/>
      <c r="EO357" s="1290"/>
      <c r="EP357" s="1290"/>
      <c r="EQ357" s="1290"/>
      <c r="ER357" s="1290"/>
      <c r="ES357" s="1290"/>
      <c r="ET357" s="1290"/>
      <c r="EU357" s="1290"/>
      <c r="EV357" s="1290"/>
      <c r="EW357" s="1290"/>
      <c r="EX357" s="1290"/>
      <c r="EY357" s="1290"/>
      <c r="EZ357" s="1290"/>
      <c r="FA357" s="1290"/>
      <c r="FB357" s="1290"/>
      <c r="FC357" s="1290"/>
      <c r="FD357" s="1290"/>
      <c r="FE357" s="1290"/>
      <c r="FF357" s="1290"/>
    </row>
  </sheetData>
  <mergeCells count="9">
    <mergeCell ref="B146:D147"/>
    <mergeCell ref="C151:D154"/>
    <mergeCell ref="C155:D156"/>
    <mergeCell ref="B5:AH5"/>
    <mergeCell ref="F7:J7"/>
    <mergeCell ref="L7:P7"/>
    <mergeCell ref="R7:AF7"/>
    <mergeCell ref="B132:D142"/>
    <mergeCell ref="B143:D145"/>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10"/>
  <sheetViews>
    <sheetView view="pageBreakPreview" topLeftCell="A25" zoomScale="60" zoomScaleNormal="100" workbookViewId="0">
      <selection activeCell="G59" sqref="G59"/>
    </sheetView>
  </sheetViews>
  <sheetFormatPr defaultRowHeight="14.5"/>
  <cols>
    <col min="1" max="2" width="4.7265625" customWidth="1"/>
    <col min="3" max="3" width="59.81640625" customWidth="1"/>
    <col min="4" max="4" width="3.1796875" customWidth="1"/>
    <col min="5" max="5" width="20.1796875" style="153" customWidth="1"/>
    <col min="6" max="6" width="19.1796875" customWidth="1"/>
    <col min="7" max="7" width="17.26953125" customWidth="1"/>
    <col min="9" max="9" width="14.453125" customWidth="1"/>
    <col min="10" max="10" width="12.81640625" bestFit="1" customWidth="1"/>
    <col min="11" max="11" width="14" bestFit="1" customWidth="1"/>
    <col min="13" max="13" width="15.26953125" bestFit="1" customWidth="1"/>
    <col min="16" max="16" width="9.81640625" bestFit="1" customWidth="1"/>
    <col min="17" max="17" width="3.81640625" customWidth="1"/>
    <col min="18" max="18" width="11.81640625" customWidth="1"/>
  </cols>
  <sheetData>
    <row r="1" spans="1:8" ht="18">
      <c r="A1" s="1874" t="s">
        <v>343</v>
      </c>
      <c r="B1" s="1874"/>
      <c r="C1" s="1874"/>
      <c r="D1" s="1874"/>
      <c r="E1" s="1874"/>
      <c r="F1" s="1874"/>
      <c r="G1" s="1874"/>
      <c r="H1" s="1875"/>
    </row>
    <row r="2" spans="1:8">
      <c r="A2" s="1"/>
    </row>
    <row r="3" spans="1:8" ht="15.5">
      <c r="A3" s="1876" t="s">
        <v>291</v>
      </c>
      <c r="B3" s="1877"/>
      <c r="C3" s="1877"/>
      <c r="D3" s="1877"/>
      <c r="E3" s="1877"/>
      <c r="F3" s="1875"/>
      <c r="G3" s="1875"/>
      <c r="H3" s="1875"/>
    </row>
    <row r="5" spans="1:8">
      <c r="D5" s="4"/>
      <c r="G5" s="900"/>
    </row>
    <row r="7" spans="1:8">
      <c r="D7" s="350"/>
      <c r="E7" s="350" t="s">
        <v>292</v>
      </c>
      <c r="F7" s="350"/>
      <c r="G7" s="350" t="s">
        <v>293</v>
      </c>
      <c r="H7" s="350"/>
    </row>
    <row r="8" spans="1:8">
      <c r="A8" s="351" t="s">
        <v>294</v>
      </c>
      <c r="B8" s="351"/>
      <c r="D8" s="350"/>
      <c r="E8" s="350" t="s">
        <v>295</v>
      </c>
      <c r="F8" s="350" t="s">
        <v>296</v>
      </c>
      <c r="G8" s="350" t="s">
        <v>128</v>
      </c>
      <c r="H8" s="350"/>
    </row>
    <row r="9" spans="1:8">
      <c r="A9" s="351"/>
      <c r="B9" s="351"/>
      <c r="D9" s="350"/>
      <c r="E9" s="352"/>
      <c r="F9" s="350"/>
      <c r="G9" s="350"/>
      <c r="H9" s="350"/>
    </row>
    <row r="10" spans="1:8">
      <c r="A10" s="351"/>
      <c r="B10" s="351"/>
      <c r="D10" s="350"/>
      <c r="E10" s="352"/>
      <c r="F10" s="350"/>
      <c r="G10" s="350"/>
      <c r="H10" s="350"/>
    </row>
    <row r="11" spans="1:8">
      <c r="D11" s="350"/>
      <c r="E11" s="352"/>
      <c r="G11" s="350"/>
      <c r="H11" s="353"/>
    </row>
    <row r="12" spans="1:8">
      <c r="B12" s="351" t="s">
        <v>129</v>
      </c>
      <c r="D12" s="350"/>
      <c r="E12" s="354"/>
      <c r="F12" s="355" t="s">
        <v>297</v>
      </c>
      <c r="G12" s="350"/>
      <c r="H12" s="353"/>
    </row>
    <row r="13" spans="1:8">
      <c r="D13" s="350"/>
      <c r="E13" s="354"/>
      <c r="F13" s="350"/>
      <c r="G13" s="350"/>
      <c r="H13" s="353"/>
    </row>
    <row r="14" spans="1:8" ht="26.25" customHeight="1">
      <c r="B14">
        <v>1</v>
      </c>
      <c r="C14" s="356" t="s">
        <v>298</v>
      </c>
      <c r="D14" s="275"/>
      <c r="E14" s="1389">
        <v>13846564.456173876</v>
      </c>
      <c r="F14" s="357">
        <v>1</v>
      </c>
      <c r="G14" s="358">
        <f t="shared" ref="G14:G20" si="0">+F14*E14</f>
        <v>13846564.456173876</v>
      </c>
      <c r="H14" s="275"/>
    </row>
    <row r="15" spans="1:8" ht="12.75" customHeight="1">
      <c r="B15" s="153" t="s">
        <v>299</v>
      </c>
      <c r="C15" s="356" t="s">
        <v>300</v>
      </c>
      <c r="D15" s="275"/>
      <c r="E15" s="1389">
        <v>49932319.683826163</v>
      </c>
      <c r="F15" s="357">
        <v>0</v>
      </c>
      <c r="G15" s="358">
        <f t="shared" si="0"/>
        <v>0</v>
      </c>
      <c r="H15" s="275"/>
    </row>
    <row r="16" spans="1:8" ht="12.75" customHeight="1">
      <c r="B16">
        <v>2</v>
      </c>
      <c r="C16" s="356" t="s">
        <v>301</v>
      </c>
      <c r="D16" s="275"/>
      <c r="E16" s="360"/>
      <c r="F16" s="1815">
        <f>+F17</f>
        <v>0.17754725405156993</v>
      </c>
      <c r="G16" s="358">
        <f t="shared" si="0"/>
        <v>0</v>
      </c>
      <c r="H16" s="275"/>
    </row>
    <row r="17" spans="2:9" ht="12.75" customHeight="1">
      <c r="B17">
        <v>3</v>
      </c>
      <c r="C17" s="356" t="s">
        <v>302</v>
      </c>
      <c r="D17" s="275"/>
      <c r="E17" s="360"/>
      <c r="F17" s="1815">
        <f>+F18</f>
        <v>0.17754725405156993</v>
      </c>
      <c r="G17" s="358">
        <f t="shared" si="0"/>
        <v>0</v>
      </c>
      <c r="H17" s="275"/>
    </row>
    <row r="18" spans="2:9" ht="12.75" customHeight="1">
      <c r="B18">
        <v>4</v>
      </c>
      <c r="C18" s="356" t="s">
        <v>303</v>
      </c>
      <c r="D18" s="275"/>
      <c r="E18" s="361"/>
      <c r="F18" s="1815">
        <f>+F19</f>
        <v>0.17754725405156993</v>
      </c>
      <c r="G18" s="358">
        <f t="shared" si="0"/>
        <v>0</v>
      </c>
      <c r="H18" s="275"/>
    </row>
    <row r="19" spans="2:9" ht="12.75" customHeight="1">
      <c r="B19">
        <v>5</v>
      </c>
      <c r="C19" s="356" t="s">
        <v>304</v>
      </c>
      <c r="D19" s="275"/>
      <c r="E19" s="362"/>
      <c r="F19" s="1815">
        <f>+F20</f>
        <v>0.17754725405156993</v>
      </c>
      <c r="G19" s="358">
        <f t="shared" si="0"/>
        <v>0</v>
      </c>
      <c r="H19" s="275"/>
    </row>
    <row r="20" spans="2:9" ht="12.75" customHeight="1">
      <c r="C20" s="7"/>
      <c r="D20" s="275"/>
      <c r="E20" s="362"/>
      <c r="F20" s="1815">
        <f>'ATT H-9A'!H45</f>
        <v>0.17754725405156993</v>
      </c>
      <c r="G20" s="358">
        <f t="shared" si="0"/>
        <v>0</v>
      </c>
      <c r="H20" s="275"/>
    </row>
    <row r="21" spans="2:9" ht="12.75" customHeight="1">
      <c r="B21" s="351" t="s">
        <v>305</v>
      </c>
      <c r="D21" s="275"/>
      <c r="E21" s="363">
        <f>SUM(E14:E20)</f>
        <v>63778884.140000038</v>
      </c>
      <c r="G21" s="363">
        <f>SUM(G14:G20)</f>
        <v>13846564.456173876</v>
      </c>
      <c r="H21" s="275"/>
      <c r="I21" s="363"/>
    </row>
    <row r="22" spans="2:9" ht="12.75" customHeight="1">
      <c r="D22" s="275"/>
      <c r="E22" s="364"/>
      <c r="F22" s="275"/>
      <c r="G22" s="275"/>
      <c r="H22" s="275"/>
    </row>
    <row r="23" spans="2:9" ht="12.75" customHeight="1">
      <c r="D23" s="275"/>
      <c r="E23" s="364"/>
      <c r="F23" s="275"/>
      <c r="G23" s="275"/>
      <c r="H23" s="275"/>
    </row>
    <row r="24" spans="2:9" ht="12.75" customHeight="1">
      <c r="B24" s="351" t="s">
        <v>306</v>
      </c>
      <c r="D24" s="275"/>
      <c r="E24" s="364"/>
      <c r="F24" s="365" t="s">
        <v>307</v>
      </c>
      <c r="G24" s="275"/>
      <c r="H24" s="275"/>
    </row>
    <row r="25" spans="2:9" ht="12.75" customHeight="1">
      <c r="B25" s="351"/>
      <c r="D25" s="275"/>
      <c r="G25" s="275"/>
      <c r="H25" s="275"/>
    </row>
    <row r="26" spans="2:9" ht="12.75" customHeight="1">
      <c r="D26" s="275"/>
      <c r="E26" s="364"/>
      <c r="F26" s="275"/>
      <c r="G26" s="275"/>
      <c r="H26" s="275"/>
    </row>
    <row r="27" spans="2:9" ht="12.75" customHeight="1">
      <c r="B27">
        <v>6</v>
      </c>
      <c r="C27" s="359" t="s">
        <v>308</v>
      </c>
      <c r="D27" s="282"/>
      <c r="E27" s="1389">
        <f>6096932-E66</f>
        <v>6096932</v>
      </c>
      <c r="F27" s="282"/>
      <c r="G27" s="282"/>
      <c r="H27" s="282"/>
    </row>
    <row r="28" spans="2:9">
      <c r="C28" s="359"/>
      <c r="E28" s="360"/>
    </row>
    <row r="29" spans="2:9">
      <c r="C29" s="7"/>
      <c r="E29" s="366"/>
    </row>
    <row r="30" spans="2:9">
      <c r="C30" s="7"/>
      <c r="E30" s="366"/>
    </row>
    <row r="31" spans="2:9">
      <c r="C31" s="7"/>
      <c r="E31" s="366"/>
    </row>
    <row r="32" spans="2:9">
      <c r="B32" s="351" t="s">
        <v>309</v>
      </c>
      <c r="E32" s="363">
        <f>SUM(E27:E31)</f>
        <v>6096932</v>
      </c>
      <c r="F32" s="1815">
        <f>'ATT H-9A'!H24</f>
        <v>0.14248734844503233</v>
      </c>
      <c r="G32" s="363">
        <f>+F32*E32</f>
        <v>868735.67432966782</v>
      </c>
    </row>
    <row r="33" spans="2:10">
      <c r="B33" s="351"/>
      <c r="C33" s="364"/>
      <c r="F33" s="5"/>
    </row>
    <row r="35" spans="2:10">
      <c r="B35" s="351" t="s">
        <v>310</v>
      </c>
      <c r="F35" s="355" t="s">
        <v>297</v>
      </c>
    </row>
    <row r="37" spans="2:10">
      <c r="B37">
        <v>7</v>
      </c>
      <c r="C37" s="367" t="s">
        <v>311</v>
      </c>
      <c r="E37" s="1389">
        <v>10632</v>
      </c>
    </row>
    <row r="38" spans="2:10">
      <c r="C38" s="359"/>
      <c r="E38" s="360"/>
    </row>
    <row r="39" spans="2:10">
      <c r="C39" s="7"/>
      <c r="E39" s="366"/>
    </row>
    <row r="40" spans="2:10">
      <c r="C40" s="7"/>
      <c r="E40" s="366"/>
    </row>
    <row r="41" spans="2:10">
      <c r="B41" s="351" t="s">
        <v>312</v>
      </c>
      <c r="E41" s="363">
        <f>SUM(E37:E40)</f>
        <v>10632</v>
      </c>
      <c r="F41" s="1815">
        <f>'ATT H-9A'!H45</f>
        <v>0.17754725405156993</v>
      </c>
      <c r="G41" s="363">
        <f>+F41*E41</f>
        <v>1887.6824050762914</v>
      </c>
    </row>
    <row r="43" spans="2:10">
      <c r="B43" s="351" t="s">
        <v>313</v>
      </c>
      <c r="G43" s="363">
        <f>+G41+G32+G21</f>
        <v>14717187.81290862</v>
      </c>
    </row>
    <row r="44" spans="2:10">
      <c r="C44" s="368"/>
    </row>
    <row r="45" spans="2:10">
      <c r="C45" s="368"/>
    </row>
    <row r="46" spans="2:10">
      <c r="C46" s="368"/>
    </row>
    <row r="47" spans="2:10">
      <c r="C47" s="351" t="s">
        <v>314</v>
      </c>
    </row>
    <row r="48" spans="2:10">
      <c r="G48" s="369"/>
      <c r="H48" s="5"/>
      <c r="I48" s="5"/>
      <c r="J48" s="370"/>
    </row>
    <row r="49" spans="1:20">
      <c r="B49">
        <v>8</v>
      </c>
      <c r="C49" s="359" t="s">
        <v>315</v>
      </c>
      <c r="D49" s="7"/>
      <c r="E49" s="1389">
        <v>26162931</v>
      </c>
      <c r="F49" s="1748"/>
      <c r="H49" s="368"/>
      <c r="I49" s="5"/>
      <c r="J49" s="1767"/>
      <c r="K49" s="5"/>
      <c r="L49" s="5"/>
      <c r="M49" s="5"/>
      <c r="N49" s="5"/>
      <c r="O49" s="5"/>
      <c r="P49" s="5"/>
      <c r="Q49" s="5"/>
      <c r="R49" s="5"/>
      <c r="S49" s="5"/>
      <c r="T49" s="5"/>
    </row>
    <row r="50" spans="1:20">
      <c r="B50">
        <v>9</v>
      </c>
      <c r="C50" s="359" t="s">
        <v>316</v>
      </c>
      <c r="D50" s="7"/>
      <c r="E50" s="1389">
        <v>1939964</v>
      </c>
      <c r="F50" s="1748"/>
      <c r="H50" s="368"/>
      <c r="I50" s="5"/>
      <c r="J50" s="1767"/>
      <c r="K50" s="5"/>
      <c r="L50" s="5"/>
      <c r="M50" s="5"/>
      <c r="N50" s="5"/>
      <c r="O50" s="5"/>
      <c r="P50" s="5"/>
      <c r="Q50" s="5"/>
      <c r="R50" s="5"/>
      <c r="S50" s="5"/>
      <c r="T50" s="5"/>
    </row>
    <row r="51" spans="1:20">
      <c r="B51">
        <v>10</v>
      </c>
      <c r="C51" s="356" t="s">
        <v>317</v>
      </c>
      <c r="D51" s="7"/>
      <c r="E51" s="1389">
        <v>6989077</v>
      </c>
      <c r="F51" s="1748"/>
      <c r="H51" s="368"/>
      <c r="I51" s="5"/>
      <c r="J51" s="1767"/>
      <c r="K51" s="5"/>
      <c r="L51" s="5"/>
      <c r="M51" s="5"/>
      <c r="N51" s="5"/>
      <c r="O51" s="5"/>
      <c r="P51" s="5"/>
      <c r="Q51" s="5"/>
      <c r="R51" s="5"/>
      <c r="S51" s="5"/>
      <c r="T51" s="5"/>
    </row>
    <row r="52" spans="1:20">
      <c r="B52">
        <v>11</v>
      </c>
      <c r="C52" s="359" t="s">
        <v>318</v>
      </c>
      <c r="D52" s="7"/>
      <c r="E52" s="1389">
        <v>125593467</v>
      </c>
      <c r="F52" s="1748"/>
      <c r="H52" s="368"/>
      <c r="I52" s="5"/>
      <c r="J52" s="1767"/>
      <c r="K52" s="5"/>
      <c r="L52" s="5"/>
      <c r="M52" s="5"/>
      <c r="N52" s="5"/>
      <c r="O52" s="5"/>
      <c r="P52" s="5"/>
      <c r="Q52" s="5"/>
      <c r="R52" s="5"/>
      <c r="S52" s="5"/>
      <c r="T52" s="5"/>
    </row>
    <row r="53" spans="1:20">
      <c r="B53">
        <v>12</v>
      </c>
      <c r="C53" s="356" t="s">
        <v>319</v>
      </c>
      <c r="D53" s="7"/>
      <c r="E53" s="1389">
        <v>3101984</v>
      </c>
      <c r="F53" s="1748"/>
      <c r="I53" s="5"/>
      <c r="J53" s="1767"/>
    </row>
    <row r="54" spans="1:20">
      <c r="B54">
        <v>13</v>
      </c>
      <c r="C54" s="356" t="s">
        <v>320</v>
      </c>
      <c r="D54" s="7"/>
      <c r="E54" s="1389">
        <v>11597</v>
      </c>
      <c r="F54" s="1748"/>
      <c r="I54" s="5"/>
      <c r="J54" s="1767"/>
    </row>
    <row r="55" spans="1:20">
      <c r="B55">
        <v>14</v>
      </c>
      <c r="C55" s="356" t="s">
        <v>321</v>
      </c>
      <c r="D55" s="7"/>
      <c r="E55" s="1389">
        <v>586732.6100000001</v>
      </c>
      <c r="F55" s="1748"/>
      <c r="I55" s="5"/>
      <c r="J55" s="1767"/>
    </row>
    <row r="56" spans="1:20">
      <c r="A56" s="5"/>
      <c r="B56">
        <v>15</v>
      </c>
      <c r="C56" s="359" t="s">
        <v>1956</v>
      </c>
      <c r="D56" s="356"/>
      <c r="E56" s="1389">
        <v>39906</v>
      </c>
      <c r="F56" s="1748"/>
      <c r="I56" s="5"/>
      <c r="J56" s="1767"/>
    </row>
    <row r="57" spans="1:20">
      <c r="A57" s="5"/>
      <c r="B57">
        <v>16</v>
      </c>
      <c r="C57" s="359" t="s">
        <v>322</v>
      </c>
      <c r="D57" s="356"/>
      <c r="E57" s="1389">
        <v>12356230</v>
      </c>
      <c r="F57" s="1748"/>
      <c r="H57" s="909"/>
      <c r="I57" s="5"/>
      <c r="J57" s="1767"/>
    </row>
    <row r="58" spans="1:20">
      <c r="A58" s="5"/>
      <c r="B58">
        <v>17</v>
      </c>
      <c r="C58" s="359" t="s">
        <v>323</v>
      </c>
      <c r="D58" s="7"/>
      <c r="E58" s="1389">
        <v>77260879</v>
      </c>
      <c r="F58" s="1748"/>
      <c r="I58" s="5"/>
      <c r="J58" s="1767"/>
    </row>
    <row r="59" spans="1:20">
      <c r="A59" s="5"/>
      <c r="B59">
        <v>18</v>
      </c>
      <c r="C59" s="359" t="s">
        <v>324</v>
      </c>
      <c r="D59" s="7"/>
      <c r="E59" s="1389">
        <v>5011703</v>
      </c>
      <c r="F59" s="1748"/>
      <c r="I59" s="5"/>
      <c r="J59" s="1767"/>
    </row>
    <row r="60" spans="1:20">
      <c r="A60" s="5"/>
      <c r="B60">
        <v>19</v>
      </c>
      <c r="C60" s="359" t="s">
        <v>325</v>
      </c>
      <c r="D60" s="7"/>
      <c r="E60" s="1389">
        <v>160502</v>
      </c>
      <c r="F60" s="1748"/>
      <c r="I60" s="5"/>
      <c r="J60" s="1767"/>
    </row>
    <row r="61" spans="1:20">
      <c r="A61" s="5"/>
      <c r="B61">
        <v>20</v>
      </c>
      <c r="C61" s="359" t="s">
        <v>326</v>
      </c>
      <c r="D61" s="7"/>
      <c r="E61" s="1389">
        <v>16500</v>
      </c>
      <c r="F61" s="1748"/>
      <c r="I61" s="5"/>
      <c r="J61" s="1767"/>
    </row>
    <row r="62" spans="1:20">
      <c r="A62" s="5"/>
      <c r="B62">
        <v>21</v>
      </c>
      <c r="C62" s="359" t="s">
        <v>327</v>
      </c>
      <c r="D62" s="7"/>
      <c r="E62" s="1389">
        <v>22626826</v>
      </c>
      <c r="F62" s="1748"/>
      <c r="I62" s="5"/>
      <c r="J62" s="1767"/>
    </row>
    <row r="63" spans="1:20">
      <c r="A63" s="5"/>
      <c r="B63">
        <v>22</v>
      </c>
      <c r="C63" s="359" t="s">
        <v>328</v>
      </c>
      <c r="D63" s="7"/>
      <c r="E63" s="1389">
        <v>29117108</v>
      </c>
      <c r="F63" s="1748"/>
      <c r="I63" s="5"/>
      <c r="J63" s="1767"/>
    </row>
    <row r="64" spans="1:20">
      <c r="A64" s="5"/>
      <c r="B64">
        <v>23</v>
      </c>
      <c r="C64" s="359" t="s">
        <v>329</v>
      </c>
      <c r="D64" s="7"/>
      <c r="E64" s="1389">
        <v>564176</v>
      </c>
      <c r="F64" s="1748"/>
      <c r="I64" s="5"/>
      <c r="J64" s="1767"/>
    </row>
    <row r="65" spans="1:10" s="1052" customFormat="1">
      <c r="A65" s="5"/>
      <c r="B65" s="1052">
        <v>24</v>
      </c>
      <c r="C65" s="359" t="s">
        <v>330</v>
      </c>
      <c r="D65" s="7"/>
      <c r="E65" s="1389">
        <v>133331</v>
      </c>
      <c r="F65" s="1748"/>
      <c r="I65" s="5"/>
      <c r="J65" s="1767"/>
    </row>
    <row r="66" spans="1:10">
      <c r="B66" s="5">
        <v>24.1</v>
      </c>
      <c r="C66" s="359" t="s">
        <v>1188</v>
      </c>
      <c r="D66" s="7"/>
      <c r="E66" s="1389">
        <v>0</v>
      </c>
      <c r="F66" s="1748"/>
      <c r="I66" s="5"/>
      <c r="J66" s="1767"/>
    </row>
    <row r="67" spans="1:10">
      <c r="B67" s="5">
        <v>25</v>
      </c>
      <c r="C67" s="371" t="s">
        <v>331</v>
      </c>
      <c r="D67" s="7"/>
      <c r="E67" s="1389">
        <f>SUM(E41:E66)+E32+E21</f>
        <v>381559361.75000006</v>
      </c>
      <c r="I67" s="5"/>
      <c r="J67" s="1767"/>
    </row>
    <row r="68" spans="1:10">
      <c r="B68" s="5"/>
      <c r="C68" s="1472"/>
      <c r="D68" s="5"/>
      <c r="E68" s="1806"/>
      <c r="I68" s="5"/>
      <c r="J68" s="1767"/>
    </row>
    <row r="69" spans="1:10">
      <c r="B69" s="5">
        <v>26</v>
      </c>
      <c r="C69" s="1472" t="s">
        <v>332</v>
      </c>
      <c r="D69" s="5"/>
      <c r="E69" s="1390">
        <v>381559362</v>
      </c>
      <c r="F69" s="372"/>
      <c r="G69" s="372"/>
      <c r="H69" s="373"/>
      <c r="I69" s="5"/>
      <c r="J69" s="1767"/>
    </row>
    <row r="70" spans="1:10">
      <c r="B70" s="5"/>
      <c r="C70" s="374"/>
      <c r="D70" s="374"/>
      <c r="E70" s="375"/>
      <c r="F70" s="372"/>
      <c r="G70" s="372"/>
      <c r="H70" s="373"/>
    </row>
    <row r="71" spans="1:10">
      <c r="B71">
        <v>27</v>
      </c>
      <c r="C71" s="374" t="s">
        <v>333</v>
      </c>
      <c r="D71" s="376"/>
      <c r="E71" s="377">
        <f>+E67-E69</f>
        <v>-0.24999994039535522</v>
      </c>
      <c r="F71" s="372"/>
      <c r="G71" s="372"/>
      <c r="H71" s="373"/>
    </row>
    <row r="72" spans="1:10">
      <c r="C72" s="374"/>
      <c r="D72" s="376"/>
      <c r="E72" s="377"/>
      <c r="F72" s="372"/>
      <c r="G72" s="372"/>
      <c r="H72" s="373"/>
    </row>
    <row r="73" spans="1:10">
      <c r="B73" s="5" t="s">
        <v>334</v>
      </c>
      <c r="C73" s="289"/>
      <c r="D73" s="5"/>
      <c r="E73" s="378"/>
      <c r="F73" s="277"/>
      <c r="G73" s="277"/>
      <c r="H73" s="277"/>
    </row>
    <row r="74" spans="1:10">
      <c r="B74" s="5" t="s">
        <v>9</v>
      </c>
      <c r="C74" s="1391" t="s">
        <v>335</v>
      </c>
      <c r="D74" s="5"/>
      <c r="E74" s="378"/>
      <c r="F74" s="277"/>
      <c r="G74" s="277"/>
      <c r="H74" s="277"/>
    </row>
    <row r="75" spans="1:10">
      <c r="B75" s="5"/>
      <c r="C75" s="1391" t="s">
        <v>336</v>
      </c>
      <c r="D75" s="5"/>
      <c r="E75" s="378"/>
      <c r="F75" s="5"/>
      <c r="G75" s="277"/>
      <c r="H75" s="277"/>
    </row>
    <row r="76" spans="1:10">
      <c r="B76" s="5" t="s">
        <v>10</v>
      </c>
      <c r="C76" s="1391" t="s">
        <v>337</v>
      </c>
      <c r="D76" s="5"/>
      <c r="E76" s="378"/>
      <c r="F76" s="5"/>
      <c r="G76" s="277"/>
      <c r="H76" s="277"/>
    </row>
    <row r="77" spans="1:10">
      <c r="B77" s="5"/>
      <c r="C77" s="1391" t="s">
        <v>336</v>
      </c>
      <c r="D77" s="5"/>
      <c r="E77" s="378"/>
      <c r="F77" s="5"/>
      <c r="G77" s="277"/>
      <c r="H77" s="277"/>
    </row>
    <row r="78" spans="1:10">
      <c r="B78" s="5" t="s">
        <v>11</v>
      </c>
      <c r="C78" s="1391" t="s">
        <v>338</v>
      </c>
      <c r="D78" s="5"/>
      <c r="E78" s="378"/>
      <c r="F78" s="5"/>
      <c r="G78" s="277"/>
      <c r="H78" s="277"/>
    </row>
    <row r="79" spans="1:10">
      <c r="B79" s="5" t="s">
        <v>14</v>
      </c>
      <c r="C79" s="1391" t="s">
        <v>339</v>
      </c>
      <c r="D79" s="5"/>
      <c r="E79" s="378"/>
      <c r="F79" s="5"/>
      <c r="G79" s="277"/>
      <c r="H79" s="277"/>
    </row>
    <row r="80" spans="1:10">
      <c r="B80" s="5"/>
      <c r="C80" s="1391" t="s">
        <v>340</v>
      </c>
      <c r="D80" s="5"/>
      <c r="E80" s="378"/>
      <c r="F80" s="5"/>
      <c r="G80" s="5"/>
      <c r="H80" s="5"/>
    </row>
    <row r="81" spans="1:3">
      <c r="B81" s="5"/>
      <c r="C81" s="1391" t="s">
        <v>341</v>
      </c>
    </row>
    <row r="82" spans="1:3">
      <c r="B82" s="5" t="s">
        <v>166</v>
      </c>
      <c r="C82" s="1391" t="s">
        <v>342</v>
      </c>
    </row>
    <row r="85" spans="1:3">
      <c r="A85" s="899"/>
    </row>
    <row r="310" spans="3:3" ht="15.5">
      <c r="C310" s="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5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11"/>
  <sheetViews>
    <sheetView view="pageBreakPreview" zoomScale="60" zoomScaleNormal="100" workbookViewId="0">
      <selection sqref="A1:XFD1048576"/>
    </sheetView>
  </sheetViews>
  <sheetFormatPr defaultRowHeight="12.5"/>
  <cols>
    <col min="1" max="1" width="33.7265625" style="322" customWidth="1"/>
    <col min="2" max="2" width="16.453125" style="322" customWidth="1"/>
    <col min="3" max="3" width="16" style="322" bestFit="1" customWidth="1"/>
    <col min="4" max="4" width="27.7265625" style="322" customWidth="1"/>
    <col min="5" max="5" width="14.81640625" style="322" customWidth="1"/>
    <col min="6" max="253" width="9.1796875" style="322"/>
    <col min="254" max="254" width="33.7265625" style="322" customWidth="1"/>
    <col min="255" max="255" width="0" style="322" hidden="1" customWidth="1"/>
    <col min="256" max="256" width="16.453125" style="322" customWidth="1"/>
    <col min="257" max="258" width="0" style="322" hidden="1" customWidth="1"/>
    <col min="259" max="259" width="16" style="322" bestFit="1" customWidth="1"/>
    <col min="260" max="260" width="27.7265625" style="322" customWidth="1"/>
    <col min="261" max="261" width="14.81640625" style="322" customWidth="1"/>
    <col min="262" max="509" width="9.1796875" style="322"/>
    <col min="510" max="510" width="33.7265625" style="322" customWidth="1"/>
    <col min="511" max="511" width="0" style="322" hidden="1" customWidth="1"/>
    <col min="512" max="512" width="16.453125" style="322" customWidth="1"/>
    <col min="513" max="514" width="0" style="322" hidden="1" customWidth="1"/>
    <col min="515" max="515" width="16" style="322" bestFit="1" customWidth="1"/>
    <col min="516" max="516" width="27.7265625" style="322" customWidth="1"/>
    <col min="517" max="517" width="14.81640625" style="322" customWidth="1"/>
    <col min="518" max="765" width="9.1796875" style="322"/>
    <col min="766" max="766" width="33.7265625" style="322" customWidth="1"/>
    <col min="767" max="767" width="0" style="322" hidden="1" customWidth="1"/>
    <col min="768" max="768" width="16.453125" style="322" customWidth="1"/>
    <col min="769" max="770" width="0" style="322" hidden="1" customWidth="1"/>
    <col min="771" max="771" width="16" style="322" bestFit="1" customWidth="1"/>
    <col min="772" max="772" width="27.7265625" style="322" customWidth="1"/>
    <col min="773" max="773" width="14.81640625" style="322" customWidth="1"/>
    <col min="774" max="1021" width="9.1796875" style="322"/>
    <col min="1022" max="1022" width="33.7265625" style="322" customWidth="1"/>
    <col min="1023" max="1023" width="0" style="322" hidden="1" customWidth="1"/>
    <col min="1024" max="1024" width="16.453125" style="322" customWidth="1"/>
    <col min="1025" max="1026" width="0" style="322" hidden="1" customWidth="1"/>
    <col min="1027" max="1027" width="16" style="322" bestFit="1" customWidth="1"/>
    <col min="1028" max="1028" width="27.7265625" style="322" customWidth="1"/>
    <col min="1029" max="1029" width="14.81640625" style="322" customWidth="1"/>
    <col min="1030" max="1277" width="9.1796875" style="322"/>
    <col min="1278" max="1278" width="33.7265625" style="322" customWidth="1"/>
    <col min="1279" max="1279" width="0" style="322" hidden="1" customWidth="1"/>
    <col min="1280" max="1280" width="16.453125" style="322" customWidth="1"/>
    <col min="1281" max="1282" width="0" style="322" hidden="1" customWidth="1"/>
    <col min="1283" max="1283" width="16" style="322" bestFit="1" customWidth="1"/>
    <col min="1284" max="1284" width="27.7265625" style="322" customWidth="1"/>
    <col min="1285" max="1285" width="14.81640625" style="322" customWidth="1"/>
    <col min="1286" max="1533" width="9.1796875" style="322"/>
    <col min="1534" max="1534" width="33.7265625" style="322" customWidth="1"/>
    <col min="1535" max="1535" width="0" style="322" hidden="1" customWidth="1"/>
    <col min="1536" max="1536" width="16.453125" style="322" customWidth="1"/>
    <col min="1537" max="1538" width="0" style="322" hidden="1" customWidth="1"/>
    <col min="1539" max="1539" width="16" style="322" bestFit="1" customWidth="1"/>
    <col min="1540" max="1540" width="27.7265625" style="322" customWidth="1"/>
    <col min="1541" max="1541" width="14.81640625" style="322" customWidth="1"/>
    <col min="1542" max="1789" width="9.1796875" style="322"/>
    <col min="1790" max="1790" width="33.7265625" style="322" customWidth="1"/>
    <col min="1791" max="1791" width="0" style="322" hidden="1" customWidth="1"/>
    <col min="1792" max="1792" width="16.453125" style="322" customWidth="1"/>
    <col min="1793" max="1794" width="0" style="322" hidden="1" customWidth="1"/>
    <col min="1795" max="1795" width="16" style="322" bestFit="1" customWidth="1"/>
    <col min="1796" max="1796" width="27.7265625" style="322" customWidth="1"/>
    <col min="1797" max="1797" width="14.81640625" style="322" customWidth="1"/>
    <col min="1798" max="2045" width="9.1796875" style="322"/>
    <col min="2046" max="2046" width="33.7265625" style="322" customWidth="1"/>
    <col min="2047" max="2047" width="0" style="322" hidden="1" customWidth="1"/>
    <col min="2048" max="2048" width="16.453125" style="322" customWidth="1"/>
    <col min="2049" max="2050" width="0" style="322" hidden="1" customWidth="1"/>
    <col min="2051" max="2051" width="16" style="322" bestFit="1" customWidth="1"/>
    <col min="2052" max="2052" width="27.7265625" style="322" customWidth="1"/>
    <col min="2053" max="2053" width="14.81640625" style="322" customWidth="1"/>
    <col min="2054" max="2301" width="9.1796875" style="322"/>
    <col min="2302" max="2302" width="33.7265625" style="322" customWidth="1"/>
    <col min="2303" max="2303" width="0" style="322" hidden="1" customWidth="1"/>
    <col min="2304" max="2304" width="16.453125" style="322" customWidth="1"/>
    <col min="2305" max="2306" width="0" style="322" hidden="1" customWidth="1"/>
    <col min="2307" max="2307" width="16" style="322" bestFit="1" customWidth="1"/>
    <col min="2308" max="2308" width="27.7265625" style="322" customWidth="1"/>
    <col min="2309" max="2309" width="14.81640625" style="322" customWidth="1"/>
    <col min="2310" max="2557" width="9.1796875" style="322"/>
    <col min="2558" max="2558" width="33.7265625" style="322" customWidth="1"/>
    <col min="2559" max="2559" width="0" style="322" hidden="1" customWidth="1"/>
    <col min="2560" max="2560" width="16.453125" style="322" customWidth="1"/>
    <col min="2561" max="2562" width="0" style="322" hidden="1" customWidth="1"/>
    <col min="2563" max="2563" width="16" style="322" bestFit="1" customWidth="1"/>
    <col min="2564" max="2564" width="27.7265625" style="322" customWidth="1"/>
    <col min="2565" max="2565" width="14.81640625" style="322" customWidth="1"/>
    <col min="2566" max="2813" width="9.1796875" style="322"/>
    <col min="2814" max="2814" width="33.7265625" style="322" customWidth="1"/>
    <col min="2815" max="2815" width="0" style="322" hidden="1" customWidth="1"/>
    <col min="2816" max="2816" width="16.453125" style="322" customWidth="1"/>
    <col min="2817" max="2818" width="0" style="322" hidden="1" customWidth="1"/>
    <col min="2819" max="2819" width="16" style="322" bestFit="1" customWidth="1"/>
    <col min="2820" max="2820" width="27.7265625" style="322" customWidth="1"/>
    <col min="2821" max="2821" width="14.81640625" style="322" customWidth="1"/>
    <col min="2822" max="3069" width="9.1796875" style="322"/>
    <col min="3070" max="3070" width="33.7265625" style="322" customWidth="1"/>
    <col min="3071" max="3071" width="0" style="322" hidden="1" customWidth="1"/>
    <col min="3072" max="3072" width="16.453125" style="322" customWidth="1"/>
    <col min="3073" max="3074" width="0" style="322" hidden="1" customWidth="1"/>
    <col min="3075" max="3075" width="16" style="322" bestFit="1" customWidth="1"/>
    <col min="3076" max="3076" width="27.7265625" style="322" customWidth="1"/>
    <col min="3077" max="3077" width="14.81640625" style="322" customWidth="1"/>
    <col min="3078" max="3325" width="9.1796875" style="322"/>
    <col min="3326" max="3326" width="33.7265625" style="322" customWidth="1"/>
    <col min="3327" max="3327" width="0" style="322" hidden="1" customWidth="1"/>
    <col min="3328" max="3328" width="16.453125" style="322" customWidth="1"/>
    <col min="3329" max="3330" width="0" style="322" hidden="1" customWidth="1"/>
    <col min="3331" max="3331" width="16" style="322" bestFit="1" customWidth="1"/>
    <col min="3332" max="3332" width="27.7265625" style="322" customWidth="1"/>
    <col min="3333" max="3333" width="14.81640625" style="322" customWidth="1"/>
    <col min="3334" max="3581" width="9.1796875" style="322"/>
    <col min="3582" max="3582" width="33.7265625" style="322" customWidth="1"/>
    <col min="3583" max="3583" width="0" style="322" hidden="1" customWidth="1"/>
    <col min="3584" max="3584" width="16.453125" style="322" customWidth="1"/>
    <col min="3585" max="3586" width="0" style="322" hidden="1" customWidth="1"/>
    <col min="3587" max="3587" width="16" style="322" bestFit="1" customWidth="1"/>
    <col min="3588" max="3588" width="27.7265625" style="322" customWidth="1"/>
    <col min="3589" max="3589" width="14.81640625" style="322" customWidth="1"/>
    <col min="3590" max="3837" width="9.1796875" style="322"/>
    <col min="3838" max="3838" width="33.7265625" style="322" customWidth="1"/>
    <col min="3839" max="3839" width="0" style="322" hidden="1" customWidth="1"/>
    <col min="3840" max="3840" width="16.453125" style="322" customWidth="1"/>
    <col min="3841" max="3842" width="0" style="322" hidden="1" customWidth="1"/>
    <col min="3843" max="3843" width="16" style="322" bestFit="1" customWidth="1"/>
    <col min="3844" max="3844" width="27.7265625" style="322" customWidth="1"/>
    <col min="3845" max="3845" width="14.81640625" style="322" customWidth="1"/>
    <col min="3846" max="4093" width="9.1796875" style="322"/>
    <col min="4094" max="4094" width="33.7265625" style="322" customWidth="1"/>
    <col min="4095" max="4095" width="0" style="322" hidden="1" customWidth="1"/>
    <col min="4096" max="4096" width="16.453125" style="322" customWidth="1"/>
    <col min="4097" max="4098" width="0" style="322" hidden="1" customWidth="1"/>
    <col min="4099" max="4099" width="16" style="322" bestFit="1" customWidth="1"/>
    <col min="4100" max="4100" width="27.7265625" style="322" customWidth="1"/>
    <col min="4101" max="4101" width="14.81640625" style="322" customWidth="1"/>
    <col min="4102" max="4349" width="9.1796875" style="322"/>
    <col min="4350" max="4350" width="33.7265625" style="322" customWidth="1"/>
    <col min="4351" max="4351" width="0" style="322" hidden="1" customWidth="1"/>
    <col min="4352" max="4352" width="16.453125" style="322" customWidth="1"/>
    <col min="4353" max="4354" width="0" style="322" hidden="1" customWidth="1"/>
    <col min="4355" max="4355" width="16" style="322" bestFit="1" customWidth="1"/>
    <col min="4356" max="4356" width="27.7265625" style="322" customWidth="1"/>
    <col min="4357" max="4357" width="14.81640625" style="322" customWidth="1"/>
    <col min="4358" max="4605" width="9.1796875" style="322"/>
    <col min="4606" max="4606" width="33.7265625" style="322" customWidth="1"/>
    <col min="4607" max="4607" width="0" style="322" hidden="1" customWidth="1"/>
    <col min="4608" max="4608" width="16.453125" style="322" customWidth="1"/>
    <col min="4609" max="4610" width="0" style="322" hidden="1" customWidth="1"/>
    <col min="4611" max="4611" width="16" style="322" bestFit="1" customWidth="1"/>
    <col min="4612" max="4612" width="27.7265625" style="322" customWidth="1"/>
    <col min="4613" max="4613" width="14.81640625" style="322" customWidth="1"/>
    <col min="4614" max="4861" width="9.1796875" style="322"/>
    <col min="4862" max="4862" width="33.7265625" style="322" customWidth="1"/>
    <col min="4863" max="4863" width="0" style="322" hidden="1" customWidth="1"/>
    <col min="4864" max="4864" width="16.453125" style="322" customWidth="1"/>
    <col min="4865" max="4866" width="0" style="322" hidden="1" customWidth="1"/>
    <col min="4867" max="4867" width="16" style="322" bestFit="1" customWidth="1"/>
    <col min="4868" max="4868" width="27.7265625" style="322" customWidth="1"/>
    <col min="4869" max="4869" width="14.81640625" style="322" customWidth="1"/>
    <col min="4870" max="5117" width="9.1796875" style="322"/>
    <col min="5118" max="5118" width="33.7265625" style="322" customWidth="1"/>
    <col min="5119" max="5119" width="0" style="322" hidden="1" customWidth="1"/>
    <col min="5120" max="5120" width="16.453125" style="322" customWidth="1"/>
    <col min="5121" max="5122" width="0" style="322" hidden="1" customWidth="1"/>
    <col min="5123" max="5123" width="16" style="322" bestFit="1" customWidth="1"/>
    <col min="5124" max="5124" width="27.7265625" style="322" customWidth="1"/>
    <col min="5125" max="5125" width="14.81640625" style="322" customWidth="1"/>
    <col min="5126" max="5373" width="9.1796875" style="322"/>
    <col min="5374" max="5374" width="33.7265625" style="322" customWidth="1"/>
    <col min="5375" max="5375" width="0" style="322" hidden="1" customWidth="1"/>
    <col min="5376" max="5376" width="16.453125" style="322" customWidth="1"/>
    <col min="5377" max="5378" width="0" style="322" hidden="1" customWidth="1"/>
    <col min="5379" max="5379" width="16" style="322" bestFit="1" customWidth="1"/>
    <col min="5380" max="5380" width="27.7265625" style="322" customWidth="1"/>
    <col min="5381" max="5381" width="14.81640625" style="322" customWidth="1"/>
    <col min="5382" max="5629" width="9.1796875" style="322"/>
    <col min="5630" max="5630" width="33.7265625" style="322" customWidth="1"/>
    <col min="5631" max="5631" width="0" style="322" hidden="1" customWidth="1"/>
    <col min="5632" max="5632" width="16.453125" style="322" customWidth="1"/>
    <col min="5633" max="5634" width="0" style="322" hidden="1" customWidth="1"/>
    <col min="5635" max="5635" width="16" style="322" bestFit="1" customWidth="1"/>
    <col min="5636" max="5636" width="27.7265625" style="322" customWidth="1"/>
    <col min="5637" max="5637" width="14.81640625" style="322" customWidth="1"/>
    <col min="5638" max="5885" width="9.1796875" style="322"/>
    <col min="5886" max="5886" width="33.7265625" style="322" customWidth="1"/>
    <col min="5887" max="5887" width="0" style="322" hidden="1" customWidth="1"/>
    <col min="5888" max="5888" width="16.453125" style="322" customWidth="1"/>
    <col min="5889" max="5890" width="0" style="322" hidden="1" customWidth="1"/>
    <col min="5891" max="5891" width="16" style="322" bestFit="1" customWidth="1"/>
    <col min="5892" max="5892" width="27.7265625" style="322" customWidth="1"/>
    <col min="5893" max="5893" width="14.81640625" style="322" customWidth="1"/>
    <col min="5894" max="6141" width="9.1796875" style="322"/>
    <col min="6142" max="6142" width="33.7265625" style="322" customWidth="1"/>
    <col min="6143" max="6143" width="0" style="322" hidden="1" customWidth="1"/>
    <col min="6144" max="6144" width="16.453125" style="322" customWidth="1"/>
    <col min="6145" max="6146" width="0" style="322" hidden="1" customWidth="1"/>
    <col min="6147" max="6147" width="16" style="322" bestFit="1" customWidth="1"/>
    <col min="6148" max="6148" width="27.7265625" style="322" customWidth="1"/>
    <col min="6149" max="6149" width="14.81640625" style="322" customWidth="1"/>
    <col min="6150" max="6397" width="9.1796875" style="322"/>
    <col min="6398" max="6398" width="33.7265625" style="322" customWidth="1"/>
    <col min="6399" max="6399" width="0" style="322" hidden="1" customWidth="1"/>
    <col min="6400" max="6400" width="16.453125" style="322" customWidth="1"/>
    <col min="6401" max="6402" width="0" style="322" hidden="1" customWidth="1"/>
    <col min="6403" max="6403" width="16" style="322" bestFit="1" customWidth="1"/>
    <col min="6404" max="6404" width="27.7265625" style="322" customWidth="1"/>
    <col min="6405" max="6405" width="14.81640625" style="322" customWidth="1"/>
    <col min="6406" max="6653" width="9.1796875" style="322"/>
    <col min="6654" max="6654" width="33.7265625" style="322" customWidth="1"/>
    <col min="6655" max="6655" width="0" style="322" hidden="1" customWidth="1"/>
    <col min="6656" max="6656" width="16.453125" style="322" customWidth="1"/>
    <col min="6657" max="6658" width="0" style="322" hidden="1" customWidth="1"/>
    <col min="6659" max="6659" width="16" style="322" bestFit="1" customWidth="1"/>
    <col min="6660" max="6660" width="27.7265625" style="322" customWidth="1"/>
    <col min="6661" max="6661" width="14.81640625" style="322" customWidth="1"/>
    <col min="6662" max="6909" width="9.1796875" style="322"/>
    <col min="6910" max="6910" width="33.7265625" style="322" customWidth="1"/>
    <col min="6911" max="6911" width="0" style="322" hidden="1" customWidth="1"/>
    <col min="6912" max="6912" width="16.453125" style="322" customWidth="1"/>
    <col min="6913" max="6914" width="0" style="322" hidden="1" customWidth="1"/>
    <col min="6915" max="6915" width="16" style="322" bestFit="1" customWidth="1"/>
    <col min="6916" max="6916" width="27.7265625" style="322" customWidth="1"/>
    <col min="6917" max="6917" width="14.81640625" style="322" customWidth="1"/>
    <col min="6918" max="7165" width="9.1796875" style="322"/>
    <col min="7166" max="7166" width="33.7265625" style="322" customWidth="1"/>
    <col min="7167" max="7167" width="0" style="322" hidden="1" customWidth="1"/>
    <col min="7168" max="7168" width="16.453125" style="322" customWidth="1"/>
    <col min="7169" max="7170" width="0" style="322" hidden="1" customWidth="1"/>
    <col min="7171" max="7171" width="16" style="322" bestFit="1" customWidth="1"/>
    <col min="7172" max="7172" width="27.7265625" style="322" customWidth="1"/>
    <col min="7173" max="7173" width="14.81640625" style="322" customWidth="1"/>
    <col min="7174" max="7421" width="9.1796875" style="322"/>
    <col min="7422" max="7422" width="33.7265625" style="322" customWidth="1"/>
    <col min="7423" max="7423" width="0" style="322" hidden="1" customWidth="1"/>
    <col min="7424" max="7424" width="16.453125" style="322" customWidth="1"/>
    <col min="7425" max="7426" width="0" style="322" hidden="1" customWidth="1"/>
    <col min="7427" max="7427" width="16" style="322" bestFit="1" customWidth="1"/>
    <col min="7428" max="7428" width="27.7265625" style="322" customWidth="1"/>
    <col min="7429" max="7429" width="14.81640625" style="322" customWidth="1"/>
    <col min="7430" max="7677" width="9.1796875" style="322"/>
    <col min="7678" max="7678" width="33.7265625" style="322" customWidth="1"/>
    <col min="7679" max="7679" width="0" style="322" hidden="1" customWidth="1"/>
    <col min="7680" max="7680" width="16.453125" style="322" customWidth="1"/>
    <col min="7681" max="7682" width="0" style="322" hidden="1" customWidth="1"/>
    <col min="7683" max="7683" width="16" style="322" bestFit="1" customWidth="1"/>
    <col min="7684" max="7684" width="27.7265625" style="322" customWidth="1"/>
    <col min="7685" max="7685" width="14.81640625" style="322" customWidth="1"/>
    <col min="7686" max="7933" width="9.1796875" style="322"/>
    <col min="7934" max="7934" width="33.7265625" style="322" customWidth="1"/>
    <col min="7935" max="7935" width="0" style="322" hidden="1" customWidth="1"/>
    <col min="7936" max="7936" width="16.453125" style="322" customWidth="1"/>
    <col min="7937" max="7938" width="0" style="322" hidden="1" customWidth="1"/>
    <col min="7939" max="7939" width="16" style="322" bestFit="1" customWidth="1"/>
    <col min="7940" max="7940" width="27.7265625" style="322" customWidth="1"/>
    <col min="7941" max="7941" width="14.81640625" style="322" customWidth="1"/>
    <col min="7942" max="8189" width="9.1796875" style="322"/>
    <col min="8190" max="8190" width="33.7265625" style="322" customWidth="1"/>
    <col min="8191" max="8191" width="0" style="322" hidden="1" customWidth="1"/>
    <col min="8192" max="8192" width="16.453125" style="322" customWidth="1"/>
    <col min="8193" max="8194" width="0" style="322" hidden="1" customWidth="1"/>
    <col min="8195" max="8195" width="16" style="322" bestFit="1" customWidth="1"/>
    <col min="8196" max="8196" width="27.7265625" style="322" customWidth="1"/>
    <col min="8197" max="8197" width="14.81640625" style="322" customWidth="1"/>
    <col min="8198" max="8445" width="9.1796875" style="322"/>
    <col min="8446" max="8446" width="33.7265625" style="322" customWidth="1"/>
    <col min="8447" max="8447" width="0" style="322" hidden="1" customWidth="1"/>
    <col min="8448" max="8448" width="16.453125" style="322" customWidth="1"/>
    <col min="8449" max="8450" width="0" style="322" hidden="1" customWidth="1"/>
    <col min="8451" max="8451" width="16" style="322" bestFit="1" customWidth="1"/>
    <col min="8452" max="8452" width="27.7265625" style="322" customWidth="1"/>
    <col min="8453" max="8453" width="14.81640625" style="322" customWidth="1"/>
    <col min="8454" max="8701" width="9.1796875" style="322"/>
    <col min="8702" max="8702" width="33.7265625" style="322" customWidth="1"/>
    <col min="8703" max="8703" width="0" style="322" hidden="1" customWidth="1"/>
    <col min="8704" max="8704" width="16.453125" style="322" customWidth="1"/>
    <col min="8705" max="8706" width="0" style="322" hidden="1" customWidth="1"/>
    <col min="8707" max="8707" width="16" style="322" bestFit="1" customWidth="1"/>
    <col min="8708" max="8708" width="27.7265625" style="322" customWidth="1"/>
    <col min="8709" max="8709" width="14.81640625" style="322" customWidth="1"/>
    <col min="8710" max="8957" width="9.1796875" style="322"/>
    <col min="8958" max="8958" width="33.7265625" style="322" customWidth="1"/>
    <col min="8959" max="8959" width="0" style="322" hidden="1" customWidth="1"/>
    <col min="8960" max="8960" width="16.453125" style="322" customWidth="1"/>
    <col min="8961" max="8962" width="0" style="322" hidden="1" customWidth="1"/>
    <col min="8963" max="8963" width="16" style="322" bestFit="1" customWidth="1"/>
    <col min="8964" max="8964" width="27.7265625" style="322" customWidth="1"/>
    <col min="8965" max="8965" width="14.81640625" style="322" customWidth="1"/>
    <col min="8966" max="9213" width="9.1796875" style="322"/>
    <col min="9214" max="9214" width="33.7265625" style="322" customWidth="1"/>
    <col min="9215" max="9215" width="0" style="322" hidden="1" customWidth="1"/>
    <col min="9216" max="9216" width="16.453125" style="322" customWidth="1"/>
    <col min="9217" max="9218" width="0" style="322" hidden="1" customWidth="1"/>
    <col min="9219" max="9219" width="16" style="322" bestFit="1" customWidth="1"/>
    <col min="9220" max="9220" width="27.7265625" style="322" customWidth="1"/>
    <col min="9221" max="9221" width="14.81640625" style="322" customWidth="1"/>
    <col min="9222" max="9469" width="9.1796875" style="322"/>
    <col min="9470" max="9470" width="33.7265625" style="322" customWidth="1"/>
    <col min="9471" max="9471" width="0" style="322" hidden="1" customWidth="1"/>
    <col min="9472" max="9472" width="16.453125" style="322" customWidth="1"/>
    <col min="9473" max="9474" width="0" style="322" hidden="1" customWidth="1"/>
    <col min="9475" max="9475" width="16" style="322" bestFit="1" customWidth="1"/>
    <col min="9476" max="9476" width="27.7265625" style="322" customWidth="1"/>
    <col min="9477" max="9477" width="14.81640625" style="322" customWidth="1"/>
    <col min="9478" max="9725" width="9.1796875" style="322"/>
    <col min="9726" max="9726" width="33.7265625" style="322" customWidth="1"/>
    <col min="9727" max="9727" width="0" style="322" hidden="1" customWidth="1"/>
    <col min="9728" max="9728" width="16.453125" style="322" customWidth="1"/>
    <col min="9729" max="9730" width="0" style="322" hidden="1" customWidth="1"/>
    <col min="9731" max="9731" width="16" style="322" bestFit="1" customWidth="1"/>
    <col min="9732" max="9732" width="27.7265625" style="322" customWidth="1"/>
    <col min="9733" max="9733" width="14.81640625" style="322" customWidth="1"/>
    <col min="9734" max="9981" width="9.1796875" style="322"/>
    <col min="9982" max="9982" width="33.7265625" style="322" customWidth="1"/>
    <col min="9983" max="9983" width="0" style="322" hidden="1" customWidth="1"/>
    <col min="9984" max="9984" width="16.453125" style="322" customWidth="1"/>
    <col min="9985" max="9986" width="0" style="322" hidden="1" customWidth="1"/>
    <col min="9987" max="9987" width="16" style="322" bestFit="1" customWidth="1"/>
    <col min="9988" max="9988" width="27.7265625" style="322" customWidth="1"/>
    <col min="9989" max="9989" width="14.81640625" style="322" customWidth="1"/>
    <col min="9990" max="10237" width="9.1796875" style="322"/>
    <col min="10238" max="10238" width="33.7265625" style="322" customWidth="1"/>
    <col min="10239" max="10239" width="0" style="322" hidden="1" customWidth="1"/>
    <col min="10240" max="10240" width="16.453125" style="322" customWidth="1"/>
    <col min="10241" max="10242" width="0" style="322" hidden="1" customWidth="1"/>
    <col min="10243" max="10243" width="16" style="322" bestFit="1" customWidth="1"/>
    <col min="10244" max="10244" width="27.7265625" style="322" customWidth="1"/>
    <col min="10245" max="10245" width="14.81640625" style="322" customWidth="1"/>
    <col min="10246" max="10493" width="9.1796875" style="322"/>
    <col min="10494" max="10494" width="33.7265625" style="322" customWidth="1"/>
    <col min="10495" max="10495" width="0" style="322" hidden="1" customWidth="1"/>
    <col min="10496" max="10496" width="16.453125" style="322" customWidth="1"/>
    <col min="10497" max="10498" width="0" style="322" hidden="1" customWidth="1"/>
    <col min="10499" max="10499" width="16" style="322" bestFit="1" customWidth="1"/>
    <col min="10500" max="10500" width="27.7265625" style="322" customWidth="1"/>
    <col min="10501" max="10501" width="14.81640625" style="322" customWidth="1"/>
    <col min="10502" max="10749" width="9.1796875" style="322"/>
    <col min="10750" max="10750" width="33.7265625" style="322" customWidth="1"/>
    <col min="10751" max="10751" width="0" style="322" hidden="1" customWidth="1"/>
    <col min="10752" max="10752" width="16.453125" style="322" customWidth="1"/>
    <col min="10753" max="10754" width="0" style="322" hidden="1" customWidth="1"/>
    <col min="10755" max="10755" width="16" style="322" bestFit="1" customWidth="1"/>
    <col min="10756" max="10756" width="27.7265625" style="322" customWidth="1"/>
    <col min="10757" max="10757" width="14.81640625" style="322" customWidth="1"/>
    <col min="10758" max="11005" width="9.1796875" style="322"/>
    <col min="11006" max="11006" width="33.7265625" style="322" customWidth="1"/>
    <col min="11007" max="11007" width="0" style="322" hidden="1" customWidth="1"/>
    <col min="11008" max="11008" width="16.453125" style="322" customWidth="1"/>
    <col min="11009" max="11010" width="0" style="322" hidden="1" customWidth="1"/>
    <col min="11011" max="11011" width="16" style="322" bestFit="1" customWidth="1"/>
    <col min="11012" max="11012" width="27.7265625" style="322" customWidth="1"/>
    <col min="11013" max="11013" width="14.81640625" style="322" customWidth="1"/>
    <col min="11014" max="11261" width="9.1796875" style="322"/>
    <col min="11262" max="11262" width="33.7265625" style="322" customWidth="1"/>
    <col min="11263" max="11263" width="0" style="322" hidden="1" customWidth="1"/>
    <col min="11264" max="11264" width="16.453125" style="322" customWidth="1"/>
    <col min="11265" max="11266" width="0" style="322" hidden="1" customWidth="1"/>
    <col min="11267" max="11267" width="16" style="322" bestFit="1" customWidth="1"/>
    <col min="11268" max="11268" width="27.7265625" style="322" customWidth="1"/>
    <col min="11269" max="11269" width="14.81640625" style="322" customWidth="1"/>
    <col min="11270" max="11517" width="9.1796875" style="322"/>
    <col min="11518" max="11518" width="33.7265625" style="322" customWidth="1"/>
    <col min="11519" max="11519" width="0" style="322" hidden="1" customWidth="1"/>
    <col min="11520" max="11520" width="16.453125" style="322" customWidth="1"/>
    <col min="11521" max="11522" width="0" style="322" hidden="1" customWidth="1"/>
    <col min="11523" max="11523" width="16" style="322" bestFit="1" customWidth="1"/>
    <col min="11524" max="11524" width="27.7265625" style="322" customWidth="1"/>
    <col min="11525" max="11525" width="14.81640625" style="322" customWidth="1"/>
    <col min="11526" max="11773" width="9.1796875" style="322"/>
    <col min="11774" max="11774" width="33.7265625" style="322" customWidth="1"/>
    <col min="11775" max="11775" width="0" style="322" hidden="1" customWidth="1"/>
    <col min="11776" max="11776" width="16.453125" style="322" customWidth="1"/>
    <col min="11777" max="11778" width="0" style="322" hidden="1" customWidth="1"/>
    <col min="11779" max="11779" width="16" style="322" bestFit="1" customWidth="1"/>
    <col min="11780" max="11780" width="27.7265625" style="322" customWidth="1"/>
    <col min="11781" max="11781" width="14.81640625" style="322" customWidth="1"/>
    <col min="11782" max="12029" width="9.1796875" style="322"/>
    <col min="12030" max="12030" width="33.7265625" style="322" customWidth="1"/>
    <col min="12031" max="12031" width="0" style="322" hidden="1" customWidth="1"/>
    <col min="12032" max="12032" width="16.453125" style="322" customWidth="1"/>
    <col min="12033" max="12034" width="0" style="322" hidden="1" customWidth="1"/>
    <col min="12035" max="12035" width="16" style="322" bestFit="1" customWidth="1"/>
    <col min="12036" max="12036" width="27.7265625" style="322" customWidth="1"/>
    <col min="12037" max="12037" width="14.81640625" style="322" customWidth="1"/>
    <col min="12038" max="12285" width="9.1796875" style="322"/>
    <col min="12286" max="12286" width="33.7265625" style="322" customWidth="1"/>
    <col min="12287" max="12287" width="0" style="322" hidden="1" customWidth="1"/>
    <col min="12288" max="12288" width="16.453125" style="322" customWidth="1"/>
    <col min="12289" max="12290" width="0" style="322" hidden="1" customWidth="1"/>
    <col min="12291" max="12291" width="16" style="322" bestFit="1" customWidth="1"/>
    <col min="12292" max="12292" width="27.7265625" style="322" customWidth="1"/>
    <col min="12293" max="12293" width="14.81640625" style="322" customWidth="1"/>
    <col min="12294" max="12541" width="9.1796875" style="322"/>
    <col min="12542" max="12542" width="33.7265625" style="322" customWidth="1"/>
    <col min="12543" max="12543" width="0" style="322" hidden="1" customWidth="1"/>
    <col min="12544" max="12544" width="16.453125" style="322" customWidth="1"/>
    <col min="12545" max="12546" width="0" style="322" hidden="1" customWidth="1"/>
    <col min="12547" max="12547" width="16" style="322" bestFit="1" customWidth="1"/>
    <col min="12548" max="12548" width="27.7265625" style="322" customWidth="1"/>
    <col min="12549" max="12549" width="14.81640625" style="322" customWidth="1"/>
    <col min="12550" max="12797" width="9.1796875" style="322"/>
    <col min="12798" max="12798" width="33.7265625" style="322" customWidth="1"/>
    <col min="12799" max="12799" width="0" style="322" hidden="1" customWidth="1"/>
    <col min="12800" max="12800" width="16.453125" style="322" customWidth="1"/>
    <col min="12801" max="12802" width="0" style="322" hidden="1" customWidth="1"/>
    <col min="12803" max="12803" width="16" style="322" bestFit="1" customWidth="1"/>
    <col min="12804" max="12804" width="27.7265625" style="322" customWidth="1"/>
    <col min="12805" max="12805" width="14.81640625" style="322" customWidth="1"/>
    <col min="12806" max="13053" width="9.1796875" style="322"/>
    <col min="13054" max="13054" width="33.7265625" style="322" customWidth="1"/>
    <col min="13055" max="13055" width="0" style="322" hidden="1" customWidth="1"/>
    <col min="13056" max="13056" width="16.453125" style="322" customWidth="1"/>
    <col min="13057" max="13058" width="0" style="322" hidden="1" customWidth="1"/>
    <col min="13059" max="13059" width="16" style="322" bestFit="1" customWidth="1"/>
    <col min="13060" max="13060" width="27.7265625" style="322" customWidth="1"/>
    <col min="13061" max="13061" width="14.81640625" style="322" customWidth="1"/>
    <col min="13062" max="13309" width="9.1796875" style="322"/>
    <col min="13310" max="13310" width="33.7265625" style="322" customWidth="1"/>
    <col min="13311" max="13311" width="0" style="322" hidden="1" customWidth="1"/>
    <col min="13312" max="13312" width="16.453125" style="322" customWidth="1"/>
    <col min="13313" max="13314" width="0" style="322" hidden="1" customWidth="1"/>
    <col min="13315" max="13315" width="16" style="322" bestFit="1" customWidth="1"/>
    <col min="13316" max="13316" width="27.7265625" style="322" customWidth="1"/>
    <col min="13317" max="13317" width="14.81640625" style="322" customWidth="1"/>
    <col min="13318" max="13565" width="9.1796875" style="322"/>
    <col min="13566" max="13566" width="33.7265625" style="322" customWidth="1"/>
    <col min="13567" max="13567" width="0" style="322" hidden="1" customWidth="1"/>
    <col min="13568" max="13568" width="16.453125" style="322" customWidth="1"/>
    <col min="13569" max="13570" width="0" style="322" hidden="1" customWidth="1"/>
    <col min="13571" max="13571" width="16" style="322" bestFit="1" customWidth="1"/>
    <col min="13572" max="13572" width="27.7265625" style="322" customWidth="1"/>
    <col min="13573" max="13573" width="14.81640625" style="322" customWidth="1"/>
    <col min="13574" max="13821" width="9.1796875" style="322"/>
    <col min="13822" max="13822" width="33.7265625" style="322" customWidth="1"/>
    <col min="13823" max="13823" width="0" style="322" hidden="1" customWidth="1"/>
    <col min="13824" max="13824" width="16.453125" style="322" customWidth="1"/>
    <col min="13825" max="13826" width="0" style="322" hidden="1" customWidth="1"/>
    <col min="13827" max="13827" width="16" style="322" bestFit="1" customWidth="1"/>
    <col min="13828" max="13828" width="27.7265625" style="322" customWidth="1"/>
    <col min="13829" max="13829" width="14.81640625" style="322" customWidth="1"/>
    <col min="13830" max="14077" width="9.1796875" style="322"/>
    <col min="14078" max="14078" width="33.7265625" style="322" customWidth="1"/>
    <col min="14079" max="14079" width="0" style="322" hidden="1" customWidth="1"/>
    <col min="14080" max="14080" width="16.453125" style="322" customWidth="1"/>
    <col min="14081" max="14082" width="0" style="322" hidden="1" customWidth="1"/>
    <col min="14083" max="14083" width="16" style="322" bestFit="1" customWidth="1"/>
    <col min="14084" max="14084" width="27.7265625" style="322" customWidth="1"/>
    <col min="14085" max="14085" width="14.81640625" style="322" customWidth="1"/>
    <col min="14086" max="14333" width="9.1796875" style="322"/>
    <col min="14334" max="14334" width="33.7265625" style="322" customWidth="1"/>
    <col min="14335" max="14335" width="0" style="322" hidden="1" customWidth="1"/>
    <col min="14336" max="14336" width="16.453125" style="322" customWidth="1"/>
    <col min="14337" max="14338" width="0" style="322" hidden="1" customWidth="1"/>
    <col min="14339" max="14339" width="16" style="322" bestFit="1" customWidth="1"/>
    <col min="14340" max="14340" width="27.7265625" style="322" customWidth="1"/>
    <col min="14341" max="14341" width="14.81640625" style="322" customWidth="1"/>
    <col min="14342" max="14589" width="9.1796875" style="322"/>
    <col min="14590" max="14590" width="33.7265625" style="322" customWidth="1"/>
    <col min="14591" max="14591" width="0" style="322" hidden="1" customWidth="1"/>
    <col min="14592" max="14592" width="16.453125" style="322" customWidth="1"/>
    <col min="14593" max="14594" width="0" style="322" hidden="1" customWidth="1"/>
    <col min="14595" max="14595" width="16" style="322" bestFit="1" customWidth="1"/>
    <col min="14596" max="14596" width="27.7265625" style="322" customWidth="1"/>
    <col min="14597" max="14597" width="14.81640625" style="322" customWidth="1"/>
    <col min="14598" max="14845" width="9.1796875" style="322"/>
    <col min="14846" max="14846" width="33.7265625" style="322" customWidth="1"/>
    <col min="14847" max="14847" width="0" style="322" hidden="1" customWidth="1"/>
    <col min="14848" max="14848" width="16.453125" style="322" customWidth="1"/>
    <col min="14849" max="14850" width="0" style="322" hidden="1" customWidth="1"/>
    <col min="14851" max="14851" width="16" style="322" bestFit="1" customWidth="1"/>
    <col min="14852" max="14852" width="27.7265625" style="322" customWidth="1"/>
    <col min="14853" max="14853" width="14.81640625" style="322" customWidth="1"/>
    <col min="14854" max="15101" width="9.1796875" style="322"/>
    <col min="15102" max="15102" width="33.7265625" style="322" customWidth="1"/>
    <col min="15103" max="15103" width="0" style="322" hidden="1" customWidth="1"/>
    <col min="15104" max="15104" width="16.453125" style="322" customWidth="1"/>
    <col min="15105" max="15106" width="0" style="322" hidden="1" customWidth="1"/>
    <col min="15107" max="15107" width="16" style="322" bestFit="1" customWidth="1"/>
    <col min="15108" max="15108" width="27.7265625" style="322" customWidth="1"/>
    <col min="15109" max="15109" width="14.81640625" style="322" customWidth="1"/>
    <col min="15110" max="15357" width="9.1796875" style="322"/>
    <col min="15358" max="15358" width="33.7265625" style="322" customWidth="1"/>
    <col min="15359" max="15359" width="0" style="322" hidden="1" customWidth="1"/>
    <col min="15360" max="15360" width="16.453125" style="322" customWidth="1"/>
    <col min="15361" max="15362" width="0" style="322" hidden="1" customWidth="1"/>
    <col min="15363" max="15363" width="16" style="322" bestFit="1" customWidth="1"/>
    <col min="15364" max="15364" width="27.7265625" style="322" customWidth="1"/>
    <col min="15365" max="15365" width="14.81640625" style="322" customWidth="1"/>
    <col min="15366" max="15613" width="9.1796875" style="322"/>
    <col min="15614" max="15614" width="33.7265625" style="322" customWidth="1"/>
    <col min="15615" max="15615" width="0" style="322" hidden="1" customWidth="1"/>
    <col min="15616" max="15616" width="16.453125" style="322" customWidth="1"/>
    <col min="15617" max="15618" width="0" style="322" hidden="1" customWidth="1"/>
    <col min="15619" max="15619" width="16" style="322" bestFit="1" customWidth="1"/>
    <col min="15620" max="15620" width="27.7265625" style="322" customWidth="1"/>
    <col min="15621" max="15621" width="14.81640625" style="322" customWidth="1"/>
    <col min="15622" max="15869" width="9.1796875" style="322"/>
    <col min="15870" max="15870" width="33.7265625" style="322" customWidth="1"/>
    <col min="15871" max="15871" width="0" style="322" hidden="1" customWidth="1"/>
    <col min="15872" max="15872" width="16.453125" style="322" customWidth="1"/>
    <col min="15873" max="15874" width="0" style="322" hidden="1" customWidth="1"/>
    <col min="15875" max="15875" width="16" style="322" bestFit="1" customWidth="1"/>
    <col min="15876" max="15876" width="27.7265625" style="322" customWidth="1"/>
    <col min="15877" max="15877" width="14.81640625" style="322" customWidth="1"/>
    <col min="15878" max="16125" width="9.1796875" style="322"/>
    <col min="16126" max="16126" width="33.7265625" style="322" customWidth="1"/>
    <col min="16127" max="16127" width="0" style="322" hidden="1" customWidth="1"/>
    <col min="16128" max="16128" width="16.453125" style="322" customWidth="1"/>
    <col min="16129" max="16130" width="0" style="322" hidden="1" customWidth="1"/>
    <col min="16131" max="16131" width="16" style="322" bestFit="1" customWidth="1"/>
    <col min="16132" max="16132" width="27.7265625" style="322" customWidth="1"/>
    <col min="16133" max="16133" width="14.81640625" style="322" customWidth="1"/>
    <col min="16134" max="16384" width="9.1796875" style="322"/>
  </cols>
  <sheetData>
    <row r="1" spans="1:3" s="314" customFormat="1">
      <c r="A1" s="313"/>
    </row>
    <row r="2" spans="1:3" s="314" customFormat="1" ht="34.5" customHeight="1">
      <c r="A2" s="315" t="s">
        <v>272</v>
      </c>
      <c r="B2" s="316"/>
      <c r="C2" s="316"/>
    </row>
    <row r="3" spans="1:3" s="314" customFormat="1" ht="14">
      <c r="A3" s="317" t="s">
        <v>2138</v>
      </c>
    </row>
    <row r="4" spans="1:3" s="314" customFormat="1">
      <c r="A4" s="318"/>
      <c r="B4" s="319"/>
    </row>
    <row r="5" spans="1:3" s="314" customFormat="1" ht="13">
      <c r="A5" s="320"/>
    </row>
    <row r="6" spans="1:3" s="314" customFormat="1" ht="13">
      <c r="A6" s="320" t="s">
        <v>273</v>
      </c>
    </row>
    <row r="7" spans="1:3" s="314" customFormat="1">
      <c r="A7" s="318"/>
    </row>
    <row r="8" spans="1:3">
      <c r="A8" s="318" t="s">
        <v>274</v>
      </c>
      <c r="B8" s="321">
        <v>1172033614.52</v>
      </c>
      <c r="C8" s="901"/>
    </row>
    <row r="9" spans="1:3">
      <c r="A9" s="323" t="s">
        <v>275</v>
      </c>
      <c r="B9" s="321">
        <v>4140850565.0134711</v>
      </c>
      <c r="C9" s="901"/>
    </row>
    <row r="10" spans="1:3">
      <c r="A10" s="323" t="s">
        <v>276</v>
      </c>
      <c r="B10" s="321">
        <v>249159400.74671668</v>
      </c>
      <c r="C10" s="901"/>
    </row>
    <row r="11" spans="1:3">
      <c r="A11" s="323" t="s">
        <v>277</v>
      </c>
      <c r="B11" s="324">
        <f>SUM(B8:B10)</f>
        <v>5562043580.2801876</v>
      </c>
      <c r="C11" s="325"/>
    </row>
    <row r="12" spans="1:3">
      <c r="A12" s="323"/>
      <c r="B12" s="326"/>
    </row>
    <row r="13" spans="1:3">
      <c r="A13" s="327" t="s">
        <v>278</v>
      </c>
      <c r="B13" s="326"/>
    </row>
    <row r="14" spans="1:3">
      <c r="A14" s="323" t="s">
        <v>279</v>
      </c>
      <c r="B14" s="328">
        <f>B8/B11</f>
        <v>0.21071996247482816</v>
      </c>
      <c r="C14" s="329"/>
    </row>
    <row r="15" spans="1:3">
      <c r="A15" s="323" t="s">
        <v>280</v>
      </c>
      <c r="B15" s="330">
        <f>B9/B11</f>
        <v>0.74448366059096505</v>
      </c>
      <c r="C15" s="329"/>
    </row>
    <row r="16" spans="1:3">
      <c r="A16" s="323" t="s">
        <v>281</v>
      </c>
      <c r="B16" s="331">
        <f>B10/B11</f>
        <v>4.479637693420685E-2</v>
      </c>
      <c r="C16" s="329"/>
    </row>
    <row r="17" spans="1:5">
      <c r="A17" s="323"/>
      <c r="B17" s="328">
        <f>SUM(B14:B16)</f>
        <v>1</v>
      </c>
    </row>
    <row r="18" spans="1:5">
      <c r="A18" s="323"/>
      <c r="B18" s="323"/>
    </row>
    <row r="19" spans="1:5" ht="14">
      <c r="A19" s="332" t="s">
        <v>282</v>
      </c>
      <c r="B19" s="321">
        <v>63778884.140000038</v>
      </c>
    </row>
    <row r="20" spans="1:5" ht="12" customHeight="1">
      <c r="A20" s="333"/>
      <c r="B20" s="321"/>
    </row>
    <row r="21" spans="1:5" ht="13">
      <c r="A21" s="334"/>
      <c r="B21" s="323"/>
    </row>
    <row r="22" spans="1:5">
      <c r="A22" s="323" t="s">
        <v>283</v>
      </c>
      <c r="B22" s="335">
        <f>B19*B14</f>
        <v>13439484.072667221</v>
      </c>
      <c r="C22" s="336"/>
      <c r="E22" s="337"/>
    </row>
    <row r="23" spans="1:5" ht="13">
      <c r="A23" s="323" t="s">
        <v>284</v>
      </c>
      <c r="B23" s="321">
        <f>B19*B15</f>
        <v>47482337.13295427</v>
      </c>
      <c r="C23" s="336"/>
      <c r="D23" s="338"/>
    </row>
    <row r="24" spans="1:5" ht="13">
      <c r="A24" s="323" t="s">
        <v>285</v>
      </c>
      <c r="B24" s="321">
        <f>B19*B16</f>
        <v>2857062.934378549</v>
      </c>
      <c r="C24" s="336"/>
      <c r="D24" s="338"/>
    </row>
    <row r="25" spans="1:5">
      <c r="A25" s="323" t="s">
        <v>286</v>
      </c>
      <c r="B25" s="339">
        <f>SUM(B22:B24)</f>
        <v>63778884.140000038</v>
      </c>
    </row>
    <row r="26" spans="1:5">
      <c r="A26" s="323"/>
      <c r="B26" s="313"/>
    </row>
    <row r="27" spans="1:5">
      <c r="A27" s="323"/>
      <c r="B27" s="313"/>
    </row>
    <row r="28" spans="1:5">
      <c r="A28" s="323" t="s">
        <v>285</v>
      </c>
      <c r="B28" s="321">
        <f>B24</f>
        <v>2857062.934378549</v>
      </c>
    </row>
    <row r="29" spans="1:5">
      <c r="A29" s="323" t="s">
        <v>287</v>
      </c>
      <c r="B29" s="1816">
        <f>'ATT H-9A'!$H$24</f>
        <v>0.14248734844503233</v>
      </c>
    </row>
    <row r="30" spans="1:5">
      <c r="A30" s="323" t="s">
        <v>288</v>
      </c>
      <c r="B30" s="313">
        <f>B28*B29</f>
        <v>407095.32186018286</v>
      </c>
    </row>
    <row r="31" spans="1:5">
      <c r="A31" s="323"/>
      <c r="B31" s="313"/>
    </row>
    <row r="32" spans="1:5" ht="13" thickBot="1">
      <c r="A32" s="323"/>
      <c r="B32" s="313"/>
    </row>
    <row r="33" spans="1:6" ht="13">
      <c r="A33" s="340" t="s">
        <v>289</v>
      </c>
      <c r="B33" s="341"/>
    </row>
    <row r="34" spans="1:6">
      <c r="A34" s="342" t="s">
        <v>274</v>
      </c>
      <c r="B34" s="343">
        <f>B22</f>
        <v>13439484.072667221</v>
      </c>
      <c r="F34" s="344"/>
    </row>
    <row r="35" spans="1:6">
      <c r="A35" s="342" t="s">
        <v>290</v>
      </c>
      <c r="B35" s="345">
        <f>B30</f>
        <v>407095.32186018286</v>
      </c>
    </row>
    <row r="36" spans="1:6">
      <c r="A36" s="342" t="s">
        <v>289</v>
      </c>
      <c r="B36" s="343">
        <f>SUM(B34:B35)</f>
        <v>13846579.394527404</v>
      </c>
    </row>
    <row r="37" spans="1:6">
      <c r="A37" s="342"/>
      <c r="B37" s="346"/>
    </row>
    <row r="38" spans="1:6">
      <c r="A38" s="342"/>
      <c r="B38" s="346"/>
    </row>
    <row r="39" spans="1:6" ht="13" thickBot="1">
      <c r="A39" s="347"/>
      <c r="B39" s="348"/>
    </row>
    <row r="40" spans="1:6">
      <c r="A40" s="323"/>
      <c r="B40" s="323"/>
    </row>
    <row r="41" spans="1:6" ht="14.5">
      <c r="A41" s="899"/>
      <c r="B41" s="323"/>
    </row>
    <row r="42" spans="1:6">
      <c r="A42" s="349"/>
      <c r="B42" s="323"/>
    </row>
    <row r="43" spans="1:6">
      <c r="A43" s="349"/>
      <c r="B43" s="323"/>
    </row>
    <row r="44" spans="1:6">
      <c r="A44" s="323"/>
      <c r="B44" s="323"/>
    </row>
    <row r="45" spans="1:6">
      <c r="A45" s="323"/>
      <c r="B45" s="323"/>
    </row>
    <row r="46" spans="1:6">
      <c r="A46" s="323"/>
      <c r="B46" s="323"/>
    </row>
    <row r="47" spans="1:6">
      <c r="A47" s="323"/>
      <c r="B47" s="323"/>
    </row>
    <row r="48" spans="1:6">
      <c r="A48" s="323"/>
      <c r="B48" s="323"/>
    </row>
    <row r="49" spans="1:2">
      <c r="A49" s="323"/>
      <c r="B49" s="323"/>
    </row>
    <row r="50" spans="1:2">
      <c r="A50" s="323"/>
      <c r="B50" s="323"/>
    </row>
    <row r="51" spans="1:2">
      <c r="A51" s="323"/>
      <c r="B51" s="323"/>
    </row>
    <row r="52" spans="1:2">
      <c r="A52" s="323"/>
      <c r="B52" s="323"/>
    </row>
    <row r="53" spans="1:2">
      <c r="A53" s="323"/>
      <c r="B53" s="323"/>
    </row>
    <row r="54" spans="1:2">
      <c r="A54" s="323"/>
      <c r="B54" s="323"/>
    </row>
    <row r="55" spans="1:2">
      <c r="A55" s="323"/>
      <c r="B55" s="323"/>
    </row>
    <row r="56" spans="1:2">
      <c r="A56" s="323"/>
      <c r="B56" s="323"/>
    </row>
    <row r="57" spans="1:2">
      <c r="A57" s="323"/>
      <c r="B57" s="323"/>
    </row>
    <row r="58" spans="1:2">
      <c r="A58" s="323"/>
      <c r="B58" s="323"/>
    </row>
    <row r="59" spans="1:2">
      <c r="A59" s="323"/>
      <c r="B59" s="323"/>
    </row>
    <row r="60" spans="1:2">
      <c r="A60" s="323"/>
      <c r="B60" s="323"/>
    </row>
    <row r="61" spans="1:2">
      <c r="A61" s="323"/>
      <c r="B61" s="323"/>
    </row>
    <row r="62" spans="1:2">
      <c r="A62" s="323"/>
      <c r="B62" s="323"/>
    </row>
    <row r="63" spans="1:2">
      <c r="A63" s="323"/>
      <c r="B63" s="323"/>
    </row>
    <row r="64" spans="1:2">
      <c r="A64" s="323"/>
      <c r="B64" s="323"/>
    </row>
    <row r="65" spans="1:2">
      <c r="A65" s="323"/>
      <c r="B65" s="323"/>
    </row>
    <row r="66" spans="1:2">
      <c r="A66" s="323"/>
      <c r="B66" s="323"/>
    </row>
    <row r="67" spans="1:2">
      <c r="A67" s="323"/>
      <c r="B67" s="323"/>
    </row>
    <row r="68" spans="1:2">
      <c r="A68" s="323"/>
      <c r="B68" s="323"/>
    </row>
    <row r="69" spans="1:2">
      <c r="A69" s="323"/>
      <c r="B69" s="323"/>
    </row>
    <row r="70" spans="1:2">
      <c r="A70" s="323"/>
      <c r="B70" s="323"/>
    </row>
    <row r="71" spans="1:2">
      <c r="A71" s="323"/>
      <c r="B71" s="323"/>
    </row>
    <row r="72" spans="1:2">
      <c r="A72" s="323"/>
      <c r="B72" s="323"/>
    </row>
    <row r="73" spans="1:2">
      <c r="A73" s="323"/>
      <c r="B73" s="323"/>
    </row>
    <row r="74" spans="1:2">
      <c r="A74" s="323"/>
      <c r="B74" s="323"/>
    </row>
    <row r="75" spans="1:2">
      <c r="A75" s="323"/>
      <c r="B75" s="323"/>
    </row>
    <row r="76" spans="1:2">
      <c r="A76" s="323"/>
      <c r="B76" s="323"/>
    </row>
    <row r="77" spans="1:2">
      <c r="A77" s="323"/>
      <c r="B77" s="323"/>
    </row>
    <row r="78" spans="1:2">
      <c r="A78" s="323"/>
      <c r="B78" s="323"/>
    </row>
    <row r="79" spans="1:2">
      <c r="A79" s="323"/>
      <c r="B79" s="323"/>
    </row>
    <row r="80" spans="1:2">
      <c r="A80" s="323"/>
      <c r="B80" s="323"/>
    </row>
    <row r="81" spans="1:2">
      <c r="A81" s="323"/>
      <c r="B81" s="323"/>
    </row>
    <row r="82" spans="1:2">
      <c r="A82" s="323"/>
      <c r="B82" s="323"/>
    </row>
    <row r="83" spans="1:2">
      <c r="A83" s="323"/>
      <c r="B83" s="323"/>
    </row>
    <row r="84" spans="1:2">
      <c r="A84" s="323"/>
      <c r="B84" s="323"/>
    </row>
    <row r="85" spans="1:2">
      <c r="A85" s="323"/>
      <c r="B85" s="323"/>
    </row>
    <row r="86" spans="1:2">
      <c r="A86" s="323"/>
      <c r="B86" s="323"/>
    </row>
    <row r="87" spans="1:2">
      <c r="A87" s="323"/>
      <c r="B87" s="323"/>
    </row>
    <row r="88" spans="1:2">
      <c r="A88" s="323"/>
      <c r="B88" s="323"/>
    </row>
    <row r="89" spans="1:2">
      <c r="A89" s="323"/>
      <c r="B89" s="323"/>
    </row>
    <row r="90" spans="1:2">
      <c r="A90" s="323"/>
      <c r="B90" s="323"/>
    </row>
    <row r="91" spans="1:2">
      <c r="A91" s="323"/>
      <c r="B91" s="323"/>
    </row>
    <row r="92" spans="1:2">
      <c r="A92" s="323"/>
      <c r="B92" s="323"/>
    </row>
    <row r="93" spans="1:2">
      <c r="A93" s="323"/>
      <c r="B93" s="323"/>
    </row>
    <row r="94" spans="1:2">
      <c r="A94" s="323"/>
      <c r="B94" s="323"/>
    </row>
    <row r="95" spans="1:2">
      <c r="A95" s="323"/>
      <c r="B95" s="323"/>
    </row>
    <row r="96" spans="1:2">
      <c r="A96" s="323"/>
      <c r="B96" s="323"/>
    </row>
    <row r="97" spans="1:2">
      <c r="A97" s="323"/>
      <c r="B97" s="323"/>
    </row>
    <row r="98" spans="1:2">
      <c r="A98" s="323"/>
      <c r="B98" s="323"/>
    </row>
    <row r="99" spans="1:2">
      <c r="A99" s="323"/>
      <c r="B99" s="323"/>
    </row>
    <row r="100" spans="1:2">
      <c r="A100" s="323"/>
      <c r="B100" s="323"/>
    </row>
    <row r="101" spans="1:2">
      <c r="A101" s="323"/>
      <c r="B101" s="323"/>
    </row>
    <row r="102" spans="1:2">
      <c r="A102" s="323"/>
      <c r="B102" s="323"/>
    </row>
    <row r="103" spans="1:2">
      <c r="A103" s="323"/>
      <c r="B103" s="323"/>
    </row>
    <row r="104" spans="1:2">
      <c r="A104" s="323"/>
      <c r="B104" s="323"/>
    </row>
    <row r="105" spans="1:2">
      <c r="A105" s="323"/>
      <c r="B105" s="323"/>
    </row>
    <row r="106" spans="1:2">
      <c r="A106" s="323"/>
      <c r="B106" s="323"/>
    </row>
    <row r="107" spans="1:2">
      <c r="A107" s="323"/>
      <c r="B107" s="323"/>
    </row>
    <row r="108" spans="1:2">
      <c r="A108" s="323"/>
      <c r="B108" s="323"/>
    </row>
    <row r="109" spans="1:2">
      <c r="A109" s="323"/>
      <c r="B109" s="323"/>
    </row>
    <row r="110" spans="1:2">
      <c r="A110" s="323"/>
      <c r="B110" s="323"/>
    </row>
    <row r="111" spans="1:2">
      <c r="A111" s="323"/>
      <c r="B111" s="323"/>
    </row>
  </sheetData>
  <customSheetViews>
    <customSheetView guid="{E6D9E970-926F-4F3B-8D36-41EB74ECFD6A}" fitToPage="1" hiddenColumns="1" topLeftCell="A25">
      <selection activeCell="E30" sqref="E30"/>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view="pageBreakPreview" topLeftCell="A28" zoomScale="60" zoomScaleNormal="100" workbookViewId="0">
      <selection activeCell="P11" sqref="P11"/>
    </sheetView>
  </sheetViews>
  <sheetFormatPr defaultRowHeight="14.5"/>
  <cols>
    <col min="1" max="1" width="4.1796875" style="3" customWidth="1"/>
    <col min="2" max="2" width="76.81640625" customWidth="1"/>
    <col min="3" max="3" width="23.453125" customWidth="1"/>
    <col min="4" max="4" width="15.54296875" customWidth="1"/>
    <col min="5" max="5" width="19.26953125" customWidth="1"/>
    <col min="6" max="6" width="11.7265625" customWidth="1"/>
    <col min="7" max="7" width="16.7265625" style="269" customWidth="1"/>
    <col min="8" max="8" width="6.1796875" customWidth="1"/>
    <col min="9" max="9" width="15" customWidth="1"/>
    <col min="10" max="10" width="10.26953125" customWidth="1"/>
    <col min="11" max="11" width="16.81640625" customWidth="1"/>
    <col min="12" max="12" width="14" customWidth="1"/>
    <col min="13" max="13" width="16" customWidth="1"/>
    <col min="14" max="14" width="15" customWidth="1"/>
    <col min="15" max="16" width="12.26953125" customWidth="1"/>
    <col min="18" max="18" width="11" customWidth="1"/>
  </cols>
  <sheetData>
    <row r="1" spans="1:15" ht="18">
      <c r="A1" s="1874" t="s">
        <v>343</v>
      </c>
      <c r="B1" s="1874"/>
      <c r="C1" s="1874"/>
      <c r="D1" s="1874"/>
      <c r="E1" s="1874"/>
      <c r="F1" s="1874"/>
      <c r="G1" s="1874"/>
      <c r="H1" s="5"/>
    </row>
    <row r="2" spans="1:15">
      <c r="A2" s="267"/>
      <c r="G2" s="268"/>
      <c r="H2" s="5"/>
    </row>
    <row r="3" spans="1:15" ht="15.5">
      <c r="A3" s="1876" t="s">
        <v>201</v>
      </c>
      <c r="B3" s="1877"/>
      <c r="C3" s="1877"/>
      <c r="D3" s="1877"/>
      <c r="E3" s="1877"/>
      <c r="F3" s="1877"/>
      <c r="G3" s="1877"/>
      <c r="H3" s="5"/>
    </row>
    <row r="4" spans="1:15">
      <c r="B4" s="2"/>
      <c r="C4" s="3"/>
      <c r="D4" s="937"/>
      <c r="E4" s="937"/>
      <c r="F4" s="937"/>
      <c r="G4" s="903"/>
      <c r="H4" s="270"/>
    </row>
    <row r="5" spans="1:15" ht="26.5">
      <c r="B5" s="271"/>
      <c r="C5" s="3"/>
      <c r="D5" s="938" t="s">
        <v>1214</v>
      </c>
      <c r="E5" s="938" t="s">
        <v>1215</v>
      </c>
      <c r="F5" s="938" t="s">
        <v>1216</v>
      </c>
      <c r="G5" s="938" t="s">
        <v>1217</v>
      </c>
      <c r="H5" s="270"/>
    </row>
    <row r="6" spans="1:15">
      <c r="A6"/>
      <c r="B6" s="272" t="s">
        <v>242</v>
      </c>
      <c r="H6" s="5"/>
    </row>
    <row r="7" spans="1:15">
      <c r="A7">
        <v>1</v>
      </c>
      <c r="B7" s="15" t="s">
        <v>243</v>
      </c>
      <c r="C7" s="273"/>
      <c r="D7" s="274">
        <v>10725661.8597937</v>
      </c>
      <c r="E7" s="285" t="s">
        <v>274</v>
      </c>
      <c r="F7" s="939">
        <v>1</v>
      </c>
      <c r="G7" s="940">
        <f>D7*F7</f>
        <v>10725661.8597937</v>
      </c>
      <c r="H7" s="907"/>
    </row>
    <row r="8" spans="1:15" s="2" customFormat="1">
      <c r="A8" s="101">
        <v>2</v>
      </c>
      <c r="B8" s="15" t="s">
        <v>244</v>
      </c>
      <c r="C8" s="101" t="s">
        <v>245</v>
      </c>
      <c r="D8" s="101"/>
      <c r="E8" s="289"/>
      <c r="F8" s="289"/>
      <c r="G8" s="940">
        <f>G7</f>
        <v>10725661.8597937</v>
      </c>
      <c r="H8" s="276"/>
      <c r="I8"/>
      <c r="J8"/>
      <c r="K8"/>
      <c r="L8"/>
      <c r="M8"/>
      <c r="N8"/>
      <c r="O8"/>
    </row>
    <row r="9" spans="1:15">
      <c r="A9"/>
      <c r="B9" s="11"/>
      <c r="C9" s="11"/>
      <c r="D9" s="936"/>
      <c r="E9" s="162"/>
      <c r="F9" s="162"/>
      <c r="G9" s="278"/>
      <c r="H9" s="278"/>
    </row>
    <row r="10" spans="1:15">
      <c r="A10" s="5"/>
      <c r="B10" s="272" t="s">
        <v>246</v>
      </c>
      <c r="C10" s="11"/>
      <c r="D10" s="936"/>
      <c r="E10" s="162"/>
      <c r="F10" s="162"/>
      <c r="G10" s="279"/>
      <c r="H10" s="279"/>
    </row>
    <row r="11" spans="1:15">
      <c r="A11" s="5"/>
      <c r="B11" s="281"/>
      <c r="C11" s="282"/>
      <c r="D11" s="282"/>
      <c r="E11" s="941"/>
      <c r="F11" s="941"/>
      <c r="G11" s="283"/>
      <c r="H11" s="283"/>
    </row>
    <row r="12" spans="1:15">
      <c r="A12" s="5">
        <v>3</v>
      </c>
      <c r="B12" s="15" t="s">
        <v>247</v>
      </c>
      <c r="C12" s="275"/>
      <c r="D12" s="274">
        <v>563856.56999999995</v>
      </c>
      <c r="E12" s="285" t="s">
        <v>274</v>
      </c>
      <c r="F12" s="939">
        <v>1</v>
      </c>
      <c r="G12" s="940">
        <f>D12*F12</f>
        <v>563856.56999999995</v>
      </c>
      <c r="H12" s="908"/>
    </row>
    <row r="13" spans="1:15" ht="43.5">
      <c r="A13" s="284">
        <v>4</v>
      </c>
      <c r="B13" s="275" t="s">
        <v>248</v>
      </c>
      <c r="C13" s="275"/>
      <c r="D13" s="274"/>
      <c r="E13" s="285" t="s">
        <v>274</v>
      </c>
      <c r="F13" s="939">
        <v>1</v>
      </c>
      <c r="G13" s="940">
        <f>D13*F13</f>
        <v>0</v>
      </c>
      <c r="H13" s="285"/>
    </row>
    <row r="14" spans="1:15">
      <c r="A14" s="5">
        <v>5</v>
      </c>
      <c r="B14" s="11" t="s">
        <v>249</v>
      </c>
      <c r="C14" s="275"/>
      <c r="D14" s="274">
        <v>2693693.31</v>
      </c>
      <c r="E14" s="285" t="s">
        <v>274</v>
      </c>
      <c r="F14" s="939">
        <v>1</v>
      </c>
      <c r="G14" s="940">
        <f>D14*F14</f>
        <v>2693693.31</v>
      </c>
      <c r="H14" s="908"/>
    </row>
    <row r="15" spans="1:15">
      <c r="A15">
        <v>6</v>
      </c>
      <c r="B15" s="11" t="s">
        <v>250</v>
      </c>
      <c r="C15" s="286"/>
      <c r="D15" s="274"/>
      <c r="E15" s="285" t="s">
        <v>274</v>
      </c>
      <c r="F15" s="939">
        <v>1</v>
      </c>
      <c r="G15" s="940">
        <f t="shared" ref="G15:G20" si="0">D15*F15</f>
        <v>0</v>
      </c>
      <c r="H15" s="287"/>
    </row>
    <row r="16" spans="1:15">
      <c r="A16">
        <v>7</v>
      </c>
      <c r="B16" s="11" t="s">
        <v>251</v>
      </c>
      <c r="C16" s="275"/>
      <c r="D16" s="274"/>
      <c r="E16" s="285" t="s">
        <v>274</v>
      </c>
      <c r="F16" s="939">
        <v>1</v>
      </c>
      <c r="G16" s="940">
        <f t="shared" si="0"/>
        <v>0</v>
      </c>
      <c r="H16" s="285"/>
    </row>
    <row r="17" spans="1:18">
      <c r="A17">
        <v>8</v>
      </c>
      <c r="B17" s="11" t="s">
        <v>252</v>
      </c>
      <c r="C17" s="273"/>
      <c r="D17" s="274"/>
      <c r="E17" s="285" t="s">
        <v>274</v>
      </c>
      <c r="F17" s="939">
        <v>1</v>
      </c>
      <c r="G17" s="940">
        <f t="shared" si="0"/>
        <v>0</v>
      </c>
      <c r="H17" s="288"/>
    </row>
    <row r="18" spans="1:18">
      <c r="A18">
        <v>9</v>
      </c>
      <c r="B18" s="11" t="s">
        <v>253</v>
      </c>
      <c r="C18" s="289"/>
      <c r="D18" s="274"/>
      <c r="E18" s="285" t="s">
        <v>274</v>
      </c>
      <c r="F18" s="939">
        <v>1</v>
      </c>
      <c r="G18" s="940">
        <f t="shared" si="0"/>
        <v>0</v>
      </c>
      <c r="H18" s="288"/>
    </row>
    <row r="19" spans="1:18">
      <c r="A19">
        <v>10</v>
      </c>
      <c r="B19" s="11" t="s">
        <v>254</v>
      </c>
      <c r="C19" s="289"/>
      <c r="D19" s="274"/>
      <c r="E19" s="285" t="s">
        <v>274</v>
      </c>
      <c r="F19" s="939">
        <v>1</v>
      </c>
      <c r="G19" s="940">
        <f t="shared" si="0"/>
        <v>0</v>
      </c>
      <c r="H19" s="288"/>
    </row>
    <row r="20" spans="1:18">
      <c r="A20" s="5">
        <f t="shared" ref="A20" si="1">+A19+1</f>
        <v>11</v>
      </c>
      <c r="B20" t="s">
        <v>1488</v>
      </c>
      <c r="C20" s="289"/>
      <c r="D20" s="973">
        <v>4078291.81</v>
      </c>
      <c r="E20" s="942" t="s">
        <v>1218</v>
      </c>
      <c r="F20" s="943">
        <f>+'ATT H-9A'!H24</f>
        <v>0.14248734844503233</v>
      </c>
      <c r="G20" s="940">
        <f t="shared" si="0"/>
        <v>581104.9861919916</v>
      </c>
      <c r="H20" s="288"/>
    </row>
    <row r="21" spans="1:18">
      <c r="A21" t="s">
        <v>1018</v>
      </c>
      <c r="B21" t="s">
        <v>1383</v>
      </c>
      <c r="C21" s="289"/>
      <c r="D21" s="974"/>
      <c r="E21" s="942" t="s">
        <v>1391</v>
      </c>
      <c r="F21" s="943"/>
      <c r="G21" s="940">
        <f>+'5 - Cost Support 1'!G157</f>
        <v>0</v>
      </c>
      <c r="H21" s="288"/>
    </row>
    <row r="22" spans="1:18">
      <c r="A22"/>
      <c r="B22" s="11"/>
      <c r="C22" s="289"/>
      <c r="D22" s="289"/>
      <c r="E22" s="289"/>
      <c r="F22" s="289"/>
      <c r="G22" s="288"/>
      <c r="H22" s="288"/>
    </row>
    <row r="23" spans="1:18">
      <c r="A23" s="5">
        <v>12</v>
      </c>
      <c r="B23" s="11" t="s">
        <v>255</v>
      </c>
      <c r="C23" s="101" t="s">
        <v>1219</v>
      </c>
      <c r="D23" s="1080">
        <f>SUM(D7:D22)</f>
        <v>18061503.549793702</v>
      </c>
      <c r="E23" s="289"/>
      <c r="F23" s="289"/>
      <c r="G23" s="940">
        <f>SUM(G8:G22)</f>
        <v>14564316.725985693</v>
      </c>
      <c r="H23" s="279"/>
    </row>
    <row r="24" spans="1:18">
      <c r="A24" s="5">
        <v>13</v>
      </c>
      <c r="B24" s="162" t="s">
        <v>1220</v>
      </c>
      <c r="C24" s="289"/>
      <c r="D24" s="274">
        <f>+D39</f>
        <v>-6840666.2492485251</v>
      </c>
      <c r="E24" s="285" t="s">
        <v>274</v>
      </c>
      <c r="F24" s="939">
        <v>1</v>
      </c>
      <c r="G24" s="940">
        <f t="shared" ref="G24" si="2">D24*F24</f>
        <v>-6840666.2492485251</v>
      </c>
      <c r="H24" s="279"/>
    </row>
    <row r="25" spans="1:18">
      <c r="A25" s="5">
        <v>14</v>
      </c>
      <c r="B25" s="162" t="s">
        <v>256</v>
      </c>
      <c r="C25" s="289"/>
      <c r="D25" s="289"/>
      <c r="E25" s="289"/>
      <c r="F25" s="289"/>
      <c r="G25" s="940">
        <f>+G23+G24</f>
        <v>7723650.4767371677</v>
      </c>
    </row>
    <row r="26" spans="1:18">
      <c r="A26"/>
      <c r="B26" s="11"/>
      <c r="G26" s="279"/>
      <c r="H26" s="279"/>
      <c r="P26" s="81"/>
      <c r="R26" s="81"/>
    </row>
    <row r="27" spans="1:18">
      <c r="A27"/>
      <c r="B27" s="291" t="s">
        <v>257</v>
      </c>
      <c r="G27" s="292"/>
      <c r="P27" s="81"/>
      <c r="R27" s="81"/>
    </row>
    <row r="28" spans="1:18" ht="51">
      <c r="A28" s="284">
        <v>15</v>
      </c>
      <c r="B28" s="293" t="s">
        <v>258</v>
      </c>
      <c r="G28" s="279"/>
      <c r="P28" s="81"/>
    </row>
    <row r="29" spans="1:18">
      <c r="A29" s="294"/>
      <c r="B29" s="11"/>
      <c r="H29" s="279"/>
      <c r="P29" s="81"/>
      <c r="R29" s="81"/>
    </row>
    <row r="30" spans="1:18" ht="51">
      <c r="A30" s="294">
        <v>16</v>
      </c>
      <c r="B30" s="946" t="s">
        <v>259</v>
      </c>
      <c r="G30" s="280"/>
      <c r="H30" s="288"/>
      <c r="P30" s="81"/>
    </row>
    <row r="31" spans="1:18">
      <c r="A31" s="294"/>
      <c r="B31" s="11"/>
      <c r="H31" s="279"/>
      <c r="P31" s="81"/>
    </row>
    <row r="32" spans="1:18" ht="150">
      <c r="A32" s="295">
        <v>17</v>
      </c>
      <c r="B32" s="152" t="s">
        <v>1228</v>
      </c>
      <c r="C32" s="296"/>
      <c r="D32" s="296"/>
      <c r="E32" s="296"/>
      <c r="F32" s="296"/>
      <c r="G32" s="297"/>
      <c r="H32" s="297"/>
      <c r="P32" s="81"/>
    </row>
    <row r="33" spans="1:14" ht="15.5">
      <c r="A33" s="295" t="s">
        <v>1221</v>
      </c>
      <c r="B33" s="152" t="s">
        <v>261</v>
      </c>
      <c r="C33" s="296"/>
      <c r="D33" s="274">
        <f>G8+G17+G19</f>
        <v>10725661.8597937</v>
      </c>
      <c r="E33" s="296"/>
      <c r="F33" s="296"/>
      <c r="H33" s="299"/>
    </row>
    <row r="34" spans="1:14" s="2" customFormat="1" ht="15.5">
      <c r="A34" s="295" t="s">
        <v>1222</v>
      </c>
      <c r="B34" s="152" t="s">
        <v>1229</v>
      </c>
      <c r="C34" s="301" t="s">
        <v>63</v>
      </c>
      <c r="D34" s="274">
        <f>'5 - Cost Support 1'!E279</f>
        <v>2955670.63870335</v>
      </c>
      <c r="E34" s="301"/>
      <c r="F34" s="301"/>
      <c r="H34" s="302"/>
      <c r="I34"/>
      <c r="J34"/>
      <c r="K34"/>
      <c r="L34"/>
      <c r="M34"/>
      <c r="N34"/>
    </row>
    <row r="35" spans="1:14" ht="15.5">
      <c r="A35" s="295" t="s">
        <v>1223</v>
      </c>
      <c r="B35" s="152" t="s">
        <v>1230</v>
      </c>
      <c r="C35" s="296"/>
      <c r="D35" s="311">
        <f>+D33-D34</f>
        <v>7769991.2210903503</v>
      </c>
      <c r="E35" s="296"/>
      <c r="F35" s="296"/>
      <c r="H35" s="303"/>
    </row>
    <row r="36" spans="1:14" s="2" customFormat="1" ht="15.5">
      <c r="A36" s="295" t="s">
        <v>1224</v>
      </c>
      <c r="B36" s="152" t="s">
        <v>1231</v>
      </c>
      <c r="C36" s="296"/>
      <c r="D36" s="311">
        <f>+D35/2</f>
        <v>3884995.6105451752</v>
      </c>
      <c r="E36" s="296"/>
      <c r="F36" s="296"/>
      <c r="H36" s="303"/>
      <c r="I36"/>
      <c r="J36"/>
      <c r="K36"/>
      <c r="L36"/>
      <c r="M36"/>
      <c r="N36"/>
    </row>
    <row r="37" spans="1:14" ht="37.5">
      <c r="A37" s="295" t="s">
        <v>1225</v>
      </c>
      <c r="B37" s="152" t="s">
        <v>265</v>
      </c>
      <c r="C37" s="296"/>
      <c r="D37" s="298">
        <v>0</v>
      </c>
      <c r="E37" s="296"/>
      <c r="F37" s="296"/>
      <c r="H37" s="303"/>
    </row>
    <row r="38" spans="1:14" ht="15.5">
      <c r="A38" s="295" t="s">
        <v>1226</v>
      </c>
      <c r="B38" s="273" t="s">
        <v>1232</v>
      </c>
      <c r="C38" s="289"/>
      <c r="D38" s="311">
        <f>+D36+D37</f>
        <v>3884995.6105451752</v>
      </c>
      <c r="E38" s="289"/>
      <c r="F38" s="289"/>
      <c r="H38" s="305"/>
    </row>
    <row r="39" spans="1:14" ht="15.5">
      <c r="A39" s="295" t="s">
        <v>1227</v>
      </c>
      <c r="B39" s="273" t="s">
        <v>1233</v>
      </c>
      <c r="C39" s="289"/>
      <c r="D39" s="311">
        <f>+D38-D33</f>
        <v>-6840666.2492485251</v>
      </c>
      <c r="E39" s="289"/>
      <c r="F39" s="289"/>
      <c r="H39" s="305"/>
    </row>
    <row r="40" spans="1:14" ht="63.5">
      <c r="A40" s="306">
        <v>19</v>
      </c>
      <c r="B40" s="944" t="s">
        <v>1234</v>
      </c>
      <c r="C40" s="301"/>
      <c r="D40" s="307">
        <f>211433383-D42-D23</f>
        <v>7236584.4402063079</v>
      </c>
      <c r="E40" s="1749"/>
      <c r="F40" s="301"/>
      <c r="H40" s="308"/>
    </row>
    <row r="41" spans="1:14">
      <c r="C41" s="309"/>
      <c r="D41" s="269"/>
      <c r="E41" s="309"/>
      <c r="F41" s="309"/>
      <c r="H41" s="279"/>
    </row>
    <row r="42" spans="1:14">
      <c r="A42" s="3">
        <v>20</v>
      </c>
      <c r="B42" s="945" t="s">
        <v>268</v>
      </c>
      <c r="C42" s="309"/>
      <c r="D42" s="290">
        <v>186135295.00999999</v>
      </c>
      <c r="E42" s="309"/>
      <c r="F42" s="309"/>
      <c r="H42" s="308"/>
    </row>
    <row r="43" spans="1:14">
      <c r="B43" s="945"/>
      <c r="D43" s="310"/>
      <c r="H43" s="292"/>
    </row>
    <row r="44" spans="1:14">
      <c r="A44" s="3">
        <v>21</v>
      </c>
      <c r="B44" s="289" t="s">
        <v>269</v>
      </c>
      <c r="C44" s="289"/>
      <c r="D44" s="311">
        <f>+D23+D28+D40+D42</f>
        <v>211433383</v>
      </c>
      <c r="E44" s="289"/>
      <c r="F44" s="289"/>
      <c r="H44" s="312"/>
    </row>
    <row r="45" spans="1:14">
      <c r="A45" s="3">
        <v>22</v>
      </c>
      <c r="B45" s="289" t="s">
        <v>270</v>
      </c>
      <c r="H45" s="304"/>
    </row>
    <row r="46" spans="1:14">
      <c r="H46" s="300"/>
    </row>
    <row r="48" spans="1:14">
      <c r="B48" s="899"/>
    </row>
    <row r="49" spans="3:8">
      <c r="C49" s="309"/>
      <c r="D49" s="309"/>
      <c r="E49" s="309"/>
      <c r="F49" s="309"/>
      <c r="G49" s="292"/>
      <c r="H49" s="103"/>
    </row>
    <row r="50" spans="3:8">
      <c r="G50" s="292"/>
      <c r="H50" s="103"/>
    </row>
    <row r="51" spans="3:8">
      <c r="G51" s="292"/>
      <c r="H51" s="103"/>
    </row>
    <row r="52" spans="3:8">
      <c r="G52" s="292"/>
      <c r="H52" s="103"/>
    </row>
    <row r="53" spans="3:8">
      <c r="G53" s="292"/>
      <c r="H53" s="103"/>
    </row>
    <row r="291" spans="3:6" ht="15.5">
      <c r="C291" s="8" t="s">
        <v>271</v>
      </c>
      <c r="D291" s="8"/>
      <c r="E291" s="8"/>
      <c r="F291" s="8"/>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54"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4"/>
  <sheetViews>
    <sheetView view="pageBreakPreview" topLeftCell="A46" zoomScale="60" zoomScaleNormal="75" workbookViewId="0">
      <selection sqref="A1:XFD1048576"/>
    </sheetView>
  </sheetViews>
  <sheetFormatPr defaultRowHeight="14.5"/>
  <cols>
    <col min="1" max="1" width="9.26953125" customWidth="1"/>
    <col min="2" max="2" width="3" customWidth="1"/>
    <col min="3" max="3" width="8.1796875" customWidth="1"/>
    <col min="4" max="4" width="38.7265625" customWidth="1"/>
    <col min="5" max="5" width="52.54296875" customWidth="1"/>
    <col min="6" max="6" width="34.26953125" customWidth="1"/>
    <col min="7" max="7" width="37.1796875" customWidth="1"/>
    <col min="8" max="8" width="3.81640625" customWidth="1"/>
    <col min="9" max="9" width="18" customWidth="1"/>
  </cols>
  <sheetData>
    <row r="1" spans="1:9" ht="18">
      <c r="A1" s="1874" t="s">
        <v>343</v>
      </c>
      <c r="B1" s="1874"/>
      <c r="C1" s="1874"/>
      <c r="D1" s="1874"/>
      <c r="E1" s="1874"/>
      <c r="F1" s="1874"/>
      <c r="G1" s="1874"/>
      <c r="H1" s="1875"/>
      <c r="I1" s="1875"/>
    </row>
    <row r="2" spans="1:9" ht="18">
      <c r="A2" s="1"/>
      <c r="B2" s="9"/>
      <c r="C2" s="9"/>
      <c r="D2" s="9"/>
      <c r="E2" s="9"/>
      <c r="F2" s="9"/>
      <c r="G2" s="9"/>
    </row>
    <row r="3" spans="1:9" ht="18">
      <c r="A3" s="1878" t="s">
        <v>220</v>
      </c>
      <c r="B3" s="1878"/>
      <c r="C3" s="1878"/>
      <c r="D3" s="1878"/>
      <c r="E3" s="1878"/>
      <c r="F3" s="1878"/>
      <c r="G3" s="1878"/>
      <c r="H3" s="1875"/>
      <c r="I3" s="1875"/>
    </row>
    <row r="5" spans="1:9" s="114" customFormat="1" ht="15.5">
      <c r="B5" s="1"/>
    </row>
    <row r="6" spans="1:9" s="114" customFormat="1" ht="15.5"/>
    <row r="7" spans="1:9" s="114" customFormat="1" ht="15.5"/>
    <row r="8" spans="1:9" s="114" customFormat="1" ht="15.5">
      <c r="C8" s="114" t="s">
        <v>221</v>
      </c>
    </row>
    <row r="9" spans="1:9" s="114" customFormat="1" ht="15.5">
      <c r="A9" s="164" t="s">
        <v>9</v>
      </c>
      <c r="B9" s="164"/>
      <c r="D9" s="114" t="s">
        <v>222</v>
      </c>
      <c r="G9" s="165" t="s">
        <v>223</v>
      </c>
      <c r="I9" s="166">
        <f>+I56+I85</f>
        <v>92736959.499831617</v>
      </c>
    </row>
    <row r="10" spans="1:9" s="114" customFormat="1" ht="15.5">
      <c r="A10" s="164"/>
      <c r="B10" s="164"/>
    </row>
    <row r="11" spans="1:9" s="114" customFormat="1" ht="15.5">
      <c r="A11" s="164" t="s">
        <v>10</v>
      </c>
      <c r="B11" s="164"/>
      <c r="D11" s="114" t="s">
        <v>1003</v>
      </c>
      <c r="I11" s="167">
        <v>0.01</v>
      </c>
    </row>
    <row r="12" spans="1:9" s="114" customFormat="1" ht="15.5">
      <c r="A12" s="164"/>
      <c r="B12" s="164"/>
      <c r="I12" s="167"/>
    </row>
    <row r="13" spans="1:9" s="165" customFormat="1" ht="15.5">
      <c r="A13" s="164"/>
      <c r="B13" s="164"/>
      <c r="C13" s="114"/>
      <c r="D13" s="114"/>
      <c r="E13" s="114"/>
      <c r="F13" s="114"/>
      <c r="G13" s="114"/>
      <c r="H13" s="114"/>
    </row>
    <row r="14" spans="1:9" s="165" customFormat="1" ht="15.5">
      <c r="A14" s="168" t="s">
        <v>224</v>
      </c>
      <c r="B14" s="169"/>
      <c r="C14" s="169"/>
      <c r="D14" s="169"/>
      <c r="E14" s="169"/>
      <c r="F14" s="169"/>
      <c r="G14" s="169"/>
      <c r="H14" s="169"/>
      <c r="I14" s="169"/>
    </row>
    <row r="15" spans="1:9" s="114" customFormat="1" ht="15.5">
      <c r="I15" s="170"/>
    </row>
    <row r="16" spans="1:9" s="114" customFormat="1" ht="15.5">
      <c r="A16" s="164">
        <v>59</v>
      </c>
      <c r="C16" s="171" t="s">
        <v>442</v>
      </c>
      <c r="D16" s="171"/>
      <c r="F16" s="171"/>
      <c r="G16" s="190" t="s">
        <v>977</v>
      </c>
      <c r="H16" s="171"/>
      <c r="I16" s="166">
        <f>+'ATT H-9A'!H139</f>
        <v>1047282880.0072933</v>
      </c>
    </row>
    <row r="17" spans="1:9" s="114" customFormat="1" ht="15.5">
      <c r="G17" s="171"/>
      <c r="I17" s="170"/>
    </row>
    <row r="18" spans="1:9" s="114" customFormat="1" ht="15.5">
      <c r="G18" s="171"/>
    </row>
    <row r="19" spans="1:9" s="114" customFormat="1" ht="15.5">
      <c r="A19" s="172"/>
      <c r="B19" s="171"/>
      <c r="C19" s="193" t="s">
        <v>2</v>
      </c>
      <c r="D19" s="174"/>
      <c r="E19" s="175"/>
      <c r="F19" s="176"/>
      <c r="G19" s="177"/>
      <c r="H19" s="178"/>
    </row>
    <row r="20" spans="1:9" s="114" customFormat="1" ht="15.5">
      <c r="A20" s="172">
        <v>100</v>
      </c>
      <c r="B20" s="171"/>
      <c r="C20" s="171"/>
      <c r="D20" s="1032" t="s">
        <v>2</v>
      </c>
      <c r="E20" s="175"/>
      <c r="F20" s="176"/>
      <c r="G20" s="177" t="s">
        <v>487</v>
      </c>
      <c r="H20" s="178"/>
      <c r="I20" s="179">
        <f>+'ATT H-9A'!H215</f>
        <v>167529677</v>
      </c>
    </row>
    <row r="21" spans="1:9" s="114" customFormat="1" ht="15.5">
      <c r="A21" s="180">
        <v>101</v>
      </c>
      <c r="B21" s="171"/>
      <c r="C21" s="171"/>
      <c r="D21" s="181" t="s">
        <v>488</v>
      </c>
      <c r="E21" s="185" t="s">
        <v>986</v>
      </c>
      <c r="F21" s="183"/>
      <c r="G21" s="184" t="s">
        <v>489</v>
      </c>
      <c r="H21" s="185"/>
      <c r="I21" s="995">
        <f>+'ATT H-9A'!H216</f>
        <v>0</v>
      </c>
    </row>
    <row r="22" spans="1:9" s="114" customFormat="1" ht="15.5">
      <c r="A22" s="180">
        <v>102</v>
      </c>
      <c r="B22" s="171"/>
      <c r="C22" s="171"/>
      <c r="D22" s="190" t="s">
        <v>2</v>
      </c>
      <c r="E22" s="175"/>
      <c r="F22" s="174"/>
      <c r="G22" s="177" t="s">
        <v>490</v>
      </c>
      <c r="H22" s="178"/>
      <c r="I22" s="179">
        <f>+I20-I21</f>
        <v>167529677</v>
      </c>
    </row>
    <row r="23" spans="1:9" s="114" customFormat="1" ht="15.5">
      <c r="A23" s="180"/>
      <c r="B23" s="171"/>
      <c r="C23" s="181"/>
      <c r="D23" s="181"/>
      <c r="E23" s="176"/>
      <c r="F23" s="187"/>
      <c r="G23" s="171"/>
      <c r="H23" s="187"/>
      <c r="I23" s="188"/>
    </row>
    <row r="24" spans="1:9" s="114" customFormat="1" ht="15.5">
      <c r="A24" s="180">
        <v>103</v>
      </c>
      <c r="B24" s="171"/>
      <c r="C24" s="190" t="s">
        <v>491</v>
      </c>
      <c r="D24" s="189"/>
      <c r="F24" s="187" t="s">
        <v>492</v>
      </c>
      <c r="G24" s="190" t="s">
        <v>493</v>
      </c>
      <c r="H24" s="187"/>
      <c r="I24" s="179">
        <f>+'ATT H-9A'!H219</f>
        <v>0</v>
      </c>
    </row>
    <row r="25" spans="1:9" s="114" customFormat="1" ht="15.5">
      <c r="A25" s="180"/>
      <c r="B25" s="171"/>
      <c r="C25" s="181"/>
      <c r="D25" s="181"/>
      <c r="E25" s="176"/>
      <c r="F25" s="191"/>
      <c r="G25" s="190"/>
      <c r="H25" s="187"/>
      <c r="I25" s="188"/>
    </row>
    <row r="26" spans="1:9" s="114" customFormat="1" ht="15.5">
      <c r="A26" s="180"/>
      <c r="B26" s="171"/>
      <c r="C26" s="181" t="s">
        <v>494</v>
      </c>
      <c r="D26" s="192"/>
      <c r="E26" s="176"/>
      <c r="F26" s="176"/>
      <c r="G26" s="190"/>
      <c r="H26" s="187"/>
      <c r="I26" s="188"/>
    </row>
    <row r="27" spans="1:9" s="114" customFormat="1" ht="15.5">
      <c r="A27" s="180">
        <v>104</v>
      </c>
      <c r="B27" s="171"/>
      <c r="C27" s="171"/>
      <c r="D27" s="190" t="s">
        <v>495</v>
      </c>
      <c r="E27" s="187"/>
      <c r="F27" s="187"/>
      <c r="G27" s="190" t="s">
        <v>496</v>
      </c>
      <c r="H27" s="187"/>
      <c r="I27" s="179">
        <f>+'ATT H-9A'!H222</f>
        <v>3740632759.5007691</v>
      </c>
    </row>
    <row r="28" spans="1:9" s="114" customFormat="1" ht="15.5">
      <c r="A28" s="172">
        <v>105</v>
      </c>
      <c r="B28" s="171"/>
      <c r="C28" s="171"/>
      <c r="D28" s="193" t="s">
        <v>497</v>
      </c>
      <c r="F28" s="188" t="s">
        <v>235</v>
      </c>
      <c r="G28" s="193" t="s">
        <v>987</v>
      </c>
      <c r="H28" s="187"/>
      <c r="I28" s="188">
        <f>-I39</f>
        <v>0</v>
      </c>
    </row>
    <row r="29" spans="1:9" s="114" customFormat="1" ht="15.5">
      <c r="A29" s="180">
        <v>106</v>
      </c>
      <c r="B29" s="171"/>
      <c r="C29" s="171"/>
      <c r="D29" s="193" t="s">
        <v>498</v>
      </c>
      <c r="F29" s="194" t="s">
        <v>235</v>
      </c>
      <c r="G29" s="195" t="s">
        <v>499</v>
      </c>
      <c r="H29" s="185"/>
      <c r="I29" s="194">
        <f>+'ATT H-9A'!H224</f>
        <v>-1646367</v>
      </c>
    </row>
    <row r="30" spans="1:9" s="114" customFormat="1" ht="15.5">
      <c r="A30" s="180">
        <v>107</v>
      </c>
      <c r="B30" s="171"/>
      <c r="C30" s="171"/>
      <c r="D30" s="193" t="s">
        <v>494</v>
      </c>
      <c r="F30" s="179"/>
      <c r="G30" s="567" t="s">
        <v>988</v>
      </c>
      <c r="H30" s="197"/>
      <c r="I30" s="188">
        <f>SUM(I27:I29)</f>
        <v>3738986392.5007691</v>
      </c>
    </row>
    <row r="31" spans="1:9" s="114" customFormat="1" ht="15.5">
      <c r="A31" s="180"/>
      <c r="B31" s="171"/>
      <c r="C31" s="181"/>
      <c r="D31" s="181"/>
      <c r="F31" s="176"/>
      <c r="G31" s="190"/>
      <c r="H31" s="176"/>
      <c r="I31" s="188"/>
    </row>
    <row r="32" spans="1:9" s="114" customFormat="1" ht="15.5">
      <c r="A32" s="180"/>
      <c r="B32" s="171"/>
      <c r="C32" s="181" t="s">
        <v>3</v>
      </c>
      <c r="D32" s="192"/>
      <c r="F32" s="176"/>
      <c r="G32" s="190"/>
      <c r="H32" s="176"/>
      <c r="I32" s="188"/>
    </row>
    <row r="33" spans="1:9" s="114" customFormat="1" ht="15.5">
      <c r="A33" s="180">
        <v>108</v>
      </c>
      <c r="B33" s="171"/>
      <c r="C33" s="171"/>
      <c r="D33" s="181" t="s">
        <v>500</v>
      </c>
      <c r="F33" s="176"/>
      <c r="G33" s="181" t="s">
        <v>501</v>
      </c>
      <c r="H33" s="176"/>
      <c r="I33" s="179">
        <f>+'ATT H-9A'!H229</f>
        <v>3664316485.5215383</v>
      </c>
    </row>
    <row r="34" spans="1:9" s="114" customFormat="1" ht="15.5">
      <c r="A34" s="172">
        <v>109</v>
      </c>
      <c r="B34" s="171"/>
      <c r="C34" s="171"/>
      <c r="D34" s="181" t="s">
        <v>502</v>
      </c>
      <c r="F34" s="187" t="s">
        <v>235</v>
      </c>
      <c r="G34" s="190" t="s">
        <v>503</v>
      </c>
      <c r="H34" s="176"/>
      <c r="I34" s="179">
        <f>+'ATT H-9A'!H230</f>
        <v>-7535342.9830769198</v>
      </c>
    </row>
    <row r="35" spans="1:9" s="114" customFormat="1" ht="15.5">
      <c r="A35" s="172">
        <v>110</v>
      </c>
      <c r="B35" s="198"/>
      <c r="C35" s="198"/>
      <c r="D35" s="173" t="s">
        <v>504</v>
      </c>
      <c r="F35" s="199" t="s">
        <v>505</v>
      </c>
      <c r="G35" s="173" t="s">
        <v>506</v>
      </c>
      <c r="H35" s="199"/>
      <c r="I35" s="179">
        <f>+'ATT H-9A'!H231</f>
        <v>0</v>
      </c>
    </row>
    <row r="36" spans="1:9" s="114" customFormat="1" ht="15.5">
      <c r="A36" s="172">
        <v>111</v>
      </c>
      <c r="B36" s="198"/>
      <c r="C36" s="198"/>
      <c r="D36" s="173" t="s">
        <v>507</v>
      </c>
      <c r="F36" s="188" t="s">
        <v>235</v>
      </c>
      <c r="G36" s="171" t="s">
        <v>1450</v>
      </c>
      <c r="H36" s="199"/>
      <c r="I36" s="179">
        <f>+'ATT H-9A'!H232</f>
        <v>2076514.4658465076</v>
      </c>
    </row>
    <row r="37" spans="1:9" s="114" customFormat="1" ht="15.5">
      <c r="A37" s="172">
        <v>112</v>
      </c>
      <c r="B37" s="198"/>
      <c r="C37" s="198"/>
      <c r="D37" s="173" t="s">
        <v>508</v>
      </c>
      <c r="F37" s="188" t="s">
        <v>235</v>
      </c>
      <c r="G37" s="193" t="s">
        <v>489</v>
      </c>
      <c r="H37" s="199"/>
      <c r="I37" s="179">
        <f>+'ATT H-9A'!H233</f>
        <v>0</v>
      </c>
    </row>
    <row r="38" spans="1:9" s="114" customFormat="1" ht="15.5">
      <c r="A38" s="172">
        <v>113</v>
      </c>
      <c r="B38" s="198"/>
      <c r="C38" s="198"/>
      <c r="D38" s="173" t="s">
        <v>509</v>
      </c>
      <c r="E38" s="200"/>
      <c r="F38" s="201"/>
      <c r="G38" s="568" t="s">
        <v>989</v>
      </c>
      <c r="H38" s="200"/>
      <c r="I38" s="202">
        <f>SUM(I33:I37)</f>
        <v>3658857657.0043077</v>
      </c>
    </row>
    <row r="39" spans="1:9" s="114" customFormat="1" ht="15.5">
      <c r="A39" s="172">
        <v>114</v>
      </c>
      <c r="B39" s="198"/>
      <c r="C39" s="198"/>
      <c r="D39" s="173" t="s">
        <v>510</v>
      </c>
      <c r="E39" s="199"/>
      <c r="F39" s="203"/>
      <c r="G39" s="173" t="s">
        <v>511</v>
      </c>
      <c r="H39" s="199"/>
      <c r="I39" s="179">
        <f>+'ATT H-9A'!H235</f>
        <v>0</v>
      </c>
    </row>
    <row r="40" spans="1:9" s="114" customFormat="1" ht="15.5">
      <c r="A40" s="180">
        <v>115</v>
      </c>
      <c r="B40" s="171"/>
      <c r="C40" s="171"/>
      <c r="D40" s="181" t="s">
        <v>494</v>
      </c>
      <c r="E40" s="176"/>
      <c r="F40" s="191"/>
      <c r="G40" s="190" t="s">
        <v>990</v>
      </c>
      <c r="H40" s="176"/>
      <c r="I40" s="179">
        <f>I30</f>
        <v>3738986392.5007691</v>
      </c>
    </row>
    <row r="41" spans="1:9" s="114" customFormat="1" ht="15.5">
      <c r="A41" s="180">
        <v>116</v>
      </c>
      <c r="B41" s="171"/>
      <c r="C41" s="171"/>
      <c r="D41" s="181" t="s">
        <v>512</v>
      </c>
      <c r="E41" s="204"/>
      <c r="F41" s="205"/>
      <c r="G41" s="569" t="s">
        <v>991</v>
      </c>
      <c r="H41" s="207"/>
      <c r="I41" s="202">
        <f>I40+I39+I38</f>
        <v>7397844049.5050774</v>
      </c>
    </row>
    <row r="42" spans="1:9" s="114" customFormat="1" ht="15.5">
      <c r="A42" s="180"/>
      <c r="B42" s="171"/>
      <c r="C42" s="171"/>
      <c r="D42" s="181"/>
      <c r="E42" s="176"/>
      <c r="F42" s="191"/>
      <c r="G42" s="171"/>
      <c r="H42" s="187"/>
      <c r="I42" s="208"/>
    </row>
    <row r="43" spans="1:9" s="114" customFormat="1" ht="15.5">
      <c r="A43" s="172">
        <v>117</v>
      </c>
      <c r="B43" s="171"/>
      <c r="C43" s="171"/>
      <c r="D43" s="181" t="s">
        <v>513</v>
      </c>
      <c r="E43" s="209"/>
      <c r="F43" s="210" t="s">
        <v>509</v>
      </c>
      <c r="G43" s="190" t="s">
        <v>1496</v>
      </c>
      <c r="H43" s="187"/>
      <c r="I43" s="1814">
        <f>IF(I41&gt;0,I33/(I33++I39+I40),0)</f>
        <v>0.49495698688750811</v>
      </c>
    </row>
    <row r="44" spans="1:9" s="114" customFormat="1" ht="15.5">
      <c r="A44" s="172">
        <v>118</v>
      </c>
      <c r="B44" s="171"/>
      <c r="C44" s="171"/>
      <c r="D44" s="181" t="s">
        <v>514</v>
      </c>
      <c r="E44" s="191"/>
      <c r="F44" s="210" t="s">
        <v>510</v>
      </c>
      <c r="G44" s="190" t="s">
        <v>1497</v>
      </c>
      <c r="H44" s="187"/>
      <c r="I44" s="1814">
        <f>IF(I41&gt;0,I39/(I33+I39+I40),0)</f>
        <v>0</v>
      </c>
    </row>
    <row r="45" spans="1:9" s="114" customFormat="1" ht="15.5">
      <c r="A45" s="172">
        <v>119</v>
      </c>
      <c r="B45" s="171"/>
      <c r="C45" s="171"/>
      <c r="D45" s="181" t="s">
        <v>515</v>
      </c>
      <c r="E45" s="191"/>
      <c r="F45" s="210" t="s">
        <v>494</v>
      </c>
      <c r="G45" s="190" t="s">
        <v>1498</v>
      </c>
      <c r="H45" s="187"/>
      <c r="I45" s="1814">
        <f>IF(I41&gt;0,I40/(I33+I39+I40),0)</f>
        <v>0.50504301311249189</v>
      </c>
    </row>
    <row r="46" spans="1:9" s="114" customFormat="1" ht="15.5">
      <c r="A46" s="172"/>
      <c r="B46" s="171"/>
      <c r="C46" s="171"/>
      <c r="D46" s="181"/>
      <c r="E46" s="176"/>
      <c r="F46" s="190"/>
      <c r="G46" s="171"/>
      <c r="H46" s="187"/>
      <c r="I46" s="208"/>
    </row>
    <row r="47" spans="1:9" s="114" customFormat="1" ht="15.5">
      <c r="A47" s="172">
        <v>120</v>
      </c>
      <c r="B47" s="171"/>
      <c r="C47" s="171"/>
      <c r="D47" s="190" t="s">
        <v>516</v>
      </c>
      <c r="E47" s="209"/>
      <c r="F47" s="190" t="s">
        <v>509</v>
      </c>
      <c r="G47" s="190" t="s">
        <v>992</v>
      </c>
      <c r="H47" s="187"/>
      <c r="I47" s="211">
        <f>IF(I38&gt;0,I22/I38,0)</f>
        <v>4.5787426761270907E-2</v>
      </c>
    </row>
    <row r="48" spans="1:9" s="114" customFormat="1" ht="15.5">
      <c r="A48" s="172">
        <v>121</v>
      </c>
      <c r="B48" s="171"/>
      <c r="C48" s="171"/>
      <c r="D48" s="190" t="s">
        <v>517</v>
      </c>
      <c r="E48" s="191"/>
      <c r="F48" s="190" t="s">
        <v>510</v>
      </c>
      <c r="G48" s="190" t="s">
        <v>993</v>
      </c>
      <c r="H48" s="187"/>
      <c r="I48" s="211">
        <f>IF(I39&gt;0,I24/I39,0)</f>
        <v>0</v>
      </c>
    </row>
    <row r="49" spans="1:9" s="114" customFormat="1" ht="15.5">
      <c r="A49" s="172">
        <v>122</v>
      </c>
      <c r="B49" s="171"/>
      <c r="C49" s="171"/>
      <c r="D49" s="190" t="s">
        <v>518</v>
      </c>
      <c r="E49" s="191" t="s">
        <v>225</v>
      </c>
      <c r="F49" s="190" t="s">
        <v>494</v>
      </c>
      <c r="G49" s="171" t="s">
        <v>226</v>
      </c>
      <c r="H49" s="187"/>
      <c r="I49" s="212">
        <f>+'ATT H-9A'!H245+0.01</f>
        <v>0.11499999999999999</v>
      </c>
    </row>
    <row r="50" spans="1:9" s="114" customFormat="1" ht="15.5">
      <c r="A50" s="172"/>
      <c r="B50" s="171"/>
      <c r="C50" s="171"/>
      <c r="D50" s="181"/>
      <c r="E50" s="176"/>
      <c r="F50" s="190"/>
      <c r="G50" s="171"/>
      <c r="H50" s="187"/>
      <c r="I50" s="176"/>
    </row>
    <row r="51" spans="1:9" s="114" customFormat="1" ht="15.5">
      <c r="A51" s="172">
        <v>123</v>
      </c>
      <c r="B51" s="171"/>
      <c r="C51" s="171"/>
      <c r="D51" s="181" t="s">
        <v>520</v>
      </c>
      <c r="E51" s="209"/>
      <c r="F51" s="210" t="s">
        <v>521</v>
      </c>
      <c r="G51" s="190" t="s">
        <v>994</v>
      </c>
      <c r="H51" s="213"/>
      <c r="I51" s="214">
        <f>I47*I43</f>
        <v>2.2662806787091101E-2</v>
      </c>
    </row>
    <row r="52" spans="1:9" s="114" customFormat="1" ht="15.5">
      <c r="A52" s="172">
        <v>124</v>
      </c>
      <c r="B52" s="171"/>
      <c r="C52" s="171"/>
      <c r="D52" s="181" t="s">
        <v>522</v>
      </c>
      <c r="E52" s="191"/>
      <c r="F52" s="210" t="s">
        <v>510</v>
      </c>
      <c r="G52" s="190" t="s">
        <v>995</v>
      </c>
      <c r="H52" s="215"/>
      <c r="I52" s="214">
        <f>I48*I44</f>
        <v>0</v>
      </c>
    </row>
    <row r="53" spans="1:9" s="114" customFormat="1" ht="15.5">
      <c r="A53" s="172">
        <v>125</v>
      </c>
      <c r="B53" s="171"/>
      <c r="C53" s="171"/>
      <c r="D53" s="216" t="s">
        <v>523</v>
      </c>
      <c r="E53" s="217"/>
      <c r="F53" s="216" t="s">
        <v>494</v>
      </c>
      <c r="G53" s="184" t="s">
        <v>996</v>
      </c>
      <c r="H53" s="218"/>
      <c r="I53" s="219">
        <f>I49*I45</f>
        <v>5.8079946507936561E-2</v>
      </c>
    </row>
    <row r="54" spans="1:9" s="114" customFormat="1" ht="15.5">
      <c r="A54" s="180">
        <v>126</v>
      </c>
      <c r="B54" s="171"/>
      <c r="C54" s="171" t="s">
        <v>524</v>
      </c>
      <c r="D54" s="171"/>
      <c r="E54" s="220"/>
      <c r="F54" s="221"/>
      <c r="G54" s="570" t="s">
        <v>997</v>
      </c>
      <c r="H54" s="223"/>
      <c r="I54" s="224">
        <f>SUM(I51:I53)</f>
        <v>8.0742753295027669E-2</v>
      </c>
    </row>
    <row r="55" spans="1:9" s="114" customFormat="1" ht="15.5">
      <c r="A55" s="225"/>
      <c r="B55" s="171"/>
      <c r="C55" s="171"/>
      <c r="D55" s="171"/>
      <c r="E55" s="220"/>
      <c r="F55" s="221"/>
      <c r="G55" s="222"/>
      <c r="H55" s="223"/>
      <c r="I55" s="224"/>
    </row>
    <row r="56" spans="1:9" s="114" customFormat="1" ht="16" thickBot="1">
      <c r="A56" s="180">
        <v>127</v>
      </c>
      <c r="B56" s="171"/>
      <c r="C56" s="171" t="s">
        <v>525</v>
      </c>
      <c r="D56" s="171"/>
      <c r="E56" s="226"/>
      <c r="F56" s="227"/>
      <c r="G56" s="228" t="s">
        <v>998</v>
      </c>
      <c r="H56" s="229"/>
      <c r="I56" s="230">
        <f>+I54*I16</f>
        <v>84560503.210534945</v>
      </c>
    </row>
    <row r="57" spans="1:9" s="114" customFormat="1" ht="16" thickTop="1">
      <c r="A57" s="180"/>
      <c r="B57" s="180"/>
      <c r="C57" s="180"/>
      <c r="D57" s="191"/>
      <c r="E57" s="176"/>
      <c r="F57" s="164"/>
      <c r="G57" s="187"/>
      <c r="H57" s="187"/>
      <c r="I57" s="214"/>
    </row>
    <row r="58" spans="1:9" s="114" customFormat="1" ht="15.5">
      <c r="A58" s="231" t="s">
        <v>227</v>
      </c>
      <c r="B58" s="231"/>
      <c r="C58" s="232"/>
      <c r="D58" s="233"/>
      <c r="E58" s="234"/>
      <c r="F58" s="235"/>
      <c r="G58" s="169"/>
      <c r="H58" s="169"/>
      <c r="I58" s="236"/>
    </row>
    <row r="59" spans="1:9" s="114" customFormat="1" ht="15.5">
      <c r="A59" s="173"/>
      <c r="B59" s="173"/>
      <c r="C59" s="180"/>
      <c r="D59" s="237"/>
      <c r="E59" s="199"/>
      <c r="F59" s="238"/>
      <c r="G59" s="176"/>
      <c r="H59" s="176"/>
      <c r="I59" s="239"/>
    </row>
    <row r="60" spans="1:9" s="114" customFormat="1" ht="15.5">
      <c r="A60" s="1033" t="s">
        <v>101</v>
      </c>
      <c r="B60" s="1033"/>
      <c r="C60" s="506" t="s">
        <v>102</v>
      </c>
      <c r="D60" s="1031"/>
      <c r="E60" s="1031"/>
      <c r="F60" s="238"/>
      <c r="G60" s="994"/>
      <c r="H60" s="240"/>
      <c r="I60" s="1031"/>
    </row>
    <row r="61" spans="1:9" s="114" customFormat="1" ht="15.5">
      <c r="A61" s="172">
        <v>128</v>
      </c>
      <c r="B61" s="1122"/>
      <c r="C61" s="1033"/>
      <c r="D61" s="1031" t="s">
        <v>228</v>
      </c>
      <c r="E61" s="1031"/>
      <c r="F61" s="500" t="s">
        <v>1477</v>
      </c>
      <c r="G61" s="1043"/>
      <c r="H61" s="1019"/>
      <c r="I61" s="1347">
        <f>+'ATT H-9A'!H257</f>
        <v>0.21</v>
      </c>
    </row>
    <row r="62" spans="1:9" s="114" customFormat="1" ht="15.5">
      <c r="A62" s="172">
        <v>129</v>
      </c>
      <c r="B62" s="1122"/>
      <c r="C62" s="1033"/>
      <c r="D62" s="1019" t="s">
        <v>229</v>
      </c>
      <c r="E62" s="1020"/>
      <c r="F62" s="500" t="s">
        <v>1477</v>
      </c>
      <c r="G62" s="1043"/>
      <c r="H62" s="1019"/>
      <c r="I62" s="1347">
        <f>+'ATT H-9A'!H258</f>
        <v>8.3000000000000004E-2</v>
      </c>
    </row>
    <row r="63" spans="1:9" s="114" customFormat="1" ht="15.5">
      <c r="A63" s="172">
        <v>130</v>
      </c>
      <c r="B63" s="1122"/>
      <c r="C63" s="1033"/>
      <c r="D63" s="1019" t="s">
        <v>230</v>
      </c>
      <c r="E63" s="1019"/>
      <c r="F63" s="1122"/>
      <c r="G63" s="1043" t="s">
        <v>529</v>
      </c>
      <c r="H63" s="1019"/>
      <c r="I63" s="1347">
        <f>+'ATT H-9A'!H259</f>
        <v>0</v>
      </c>
    </row>
    <row r="64" spans="1:9" s="114" customFormat="1" ht="15.5">
      <c r="A64" s="172">
        <v>131</v>
      </c>
      <c r="B64" s="1122"/>
      <c r="C64" s="1033"/>
      <c r="D64" s="1019" t="s">
        <v>231</v>
      </c>
      <c r="E64" s="244" t="s">
        <v>232</v>
      </c>
      <c r="F64" s="1122"/>
      <c r="G64" s="1053"/>
      <c r="H64" s="1019"/>
      <c r="I64" s="1347">
        <f>+'ATT H-9A'!H260</f>
        <v>0.27556999999999998</v>
      </c>
    </row>
    <row r="65" spans="1:9" s="114" customFormat="1" ht="15.5">
      <c r="A65" s="172" t="s">
        <v>1451</v>
      </c>
      <c r="B65" s="1122"/>
      <c r="C65" s="1033"/>
      <c r="D65" s="1019" t="s">
        <v>233</v>
      </c>
      <c r="E65" s="1020"/>
      <c r="F65" s="1122"/>
      <c r="G65" s="1031"/>
      <c r="H65" s="1019"/>
      <c r="I65" s="1347">
        <f>+'ATT H-9A'!H261</f>
        <v>0.38039562138508892</v>
      </c>
    </row>
    <row r="66" spans="1:9" s="1053" customFormat="1" ht="15.5">
      <c r="A66" s="410" t="s">
        <v>1452</v>
      </c>
      <c r="B66" s="1122"/>
      <c r="D66" s="1053" t="s">
        <v>1453</v>
      </c>
      <c r="E66" s="1055" t="s">
        <v>1454</v>
      </c>
      <c r="F66" s="1122"/>
      <c r="I66" s="1021">
        <f>1*1/(1-I64)</f>
        <v>1.380395621385089</v>
      </c>
    </row>
    <row r="67" spans="1:9" s="114" customFormat="1" ht="15.5">
      <c r="A67" s="172"/>
      <c r="B67" s="1033"/>
      <c r="C67" s="1033"/>
      <c r="D67" s="1031"/>
      <c r="E67" s="1031"/>
      <c r="F67" s="245"/>
      <c r="G67" s="244"/>
      <c r="H67" s="240"/>
      <c r="I67" s="246"/>
    </row>
    <row r="68" spans="1:9" s="114" customFormat="1" ht="15.5">
      <c r="A68" s="172"/>
      <c r="B68" s="1033"/>
      <c r="C68" s="506" t="s">
        <v>234</v>
      </c>
      <c r="D68" s="191"/>
      <c r="E68" s="1031"/>
      <c r="F68" s="500" t="s">
        <v>1478</v>
      </c>
      <c r="G68" s="994"/>
      <c r="H68" s="240"/>
      <c r="I68" s="247"/>
    </row>
    <row r="69" spans="1:9" s="114" customFormat="1" ht="15.5">
      <c r="A69" s="172">
        <v>133</v>
      </c>
      <c r="B69" s="1122"/>
      <c r="C69" s="1033"/>
      <c r="D69" s="1053" t="s">
        <v>1491</v>
      </c>
      <c r="E69" s="1031"/>
      <c r="F69" s="208" t="s">
        <v>235</v>
      </c>
      <c r="G69" s="171" t="s">
        <v>1479</v>
      </c>
      <c r="H69" s="240"/>
      <c r="I69" s="426">
        <f>+'ATT H-9A'!H265</f>
        <v>-22349.115698249469</v>
      </c>
    </row>
    <row r="70" spans="1:9" s="114" customFormat="1" ht="15.5">
      <c r="A70" s="172">
        <v>134</v>
      </c>
      <c r="B70" s="1122"/>
      <c r="C70" s="1033"/>
      <c r="D70" s="1053" t="s">
        <v>1492</v>
      </c>
      <c r="E70" s="1035"/>
      <c r="F70" s="251"/>
      <c r="G70" s="966" t="s">
        <v>1470</v>
      </c>
      <c r="H70" s="1060"/>
      <c r="I70" s="1021">
        <f>+I66</f>
        <v>1.380395621385089</v>
      </c>
    </row>
    <row r="71" spans="1:9" s="114" customFormat="1" ht="15.5">
      <c r="A71" s="172">
        <v>136</v>
      </c>
      <c r="B71" s="1122"/>
      <c r="C71" s="1033"/>
      <c r="D71" s="509" t="s">
        <v>237</v>
      </c>
      <c r="E71" s="200"/>
      <c r="F71" s="253" t="s">
        <v>238</v>
      </c>
      <c r="G71" s="1043" t="s">
        <v>1493</v>
      </c>
      <c r="H71" s="1348"/>
      <c r="I71" s="1044">
        <f>+I69*I70</f>
        <v>-30850.621451692321</v>
      </c>
    </row>
    <row r="72" spans="1:9" s="114" customFormat="1" ht="15.5">
      <c r="A72" s="172"/>
      <c r="B72" s="1033"/>
      <c r="C72" s="1033"/>
      <c r="D72" s="255"/>
      <c r="E72" s="1040"/>
      <c r="F72" s="1041"/>
      <c r="G72" s="1042"/>
      <c r="H72" s="1046"/>
      <c r="I72" s="1047"/>
    </row>
    <row r="73" spans="1:9" s="114" customFormat="1" ht="15.5">
      <c r="A73" s="990"/>
      <c r="B73" s="192"/>
      <c r="C73" s="171" t="s">
        <v>1195</v>
      </c>
      <c r="D73" s="255"/>
      <c r="E73" s="1040"/>
      <c r="F73" s="1041"/>
      <c r="G73" s="1042"/>
      <c r="H73" s="1046"/>
      <c r="I73" s="1047"/>
    </row>
    <row r="74" spans="1:9" s="1053" customFormat="1" ht="15.5">
      <c r="A74" s="410" t="s">
        <v>1196</v>
      </c>
      <c r="C74" s="171"/>
      <c r="D74" s="1037" t="s">
        <v>1458</v>
      </c>
      <c r="F74" s="500" t="s">
        <v>1480</v>
      </c>
      <c r="G74" s="1053" t="s">
        <v>1489</v>
      </c>
      <c r="H74" s="1046"/>
      <c r="I74" s="1004">
        <f>'ATT H-9A'!H270</f>
        <v>196087</v>
      </c>
    </row>
    <row r="75" spans="1:9" s="1053" customFormat="1" ht="15.5">
      <c r="A75" s="410" t="s">
        <v>1198</v>
      </c>
      <c r="C75" s="171"/>
      <c r="D75" s="1037" t="s">
        <v>1460</v>
      </c>
      <c r="F75" s="500" t="s">
        <v>1480</v>
      </c>
      <c r="G75" s="1053" t="s">
        <v>1459</v>
      </c>
      <c r="H75" s="1046"/>
      <c r="I75" s="1004">
        <f>'ATT H-9A'!H271</f>
        <v>-10536973.129439641</v>
      </c>
    </row>
    <row r="76" spans="1:9" s="1053" customFormat="1" ht="15.5">
      <c r="A76" s="410" t="s">
        <v>1199</v>
      </c>
      <c r="C76" s="171"/>
      <c r="D76" s="1037" t="s">
        <v>1463</v>
      </c>
      <c r="F76" s="500" t="s">
        <v>1480</v>
      </c>
      <c r="G76" s="1053" t="s">
        <v>1461</v>
      </c>
      <c r="H76" s="1046"/>
      <c r="I76" s="1004">
        <f>'ATT H-9A'!H272</f>
        <v>-475352.17499999999</v>
      </c>
    </row>
    <row r="77" spans="1:9" s="114" customFormat="1" ht="15.5">
      <c r="A77" s="410" t="s">
        <v>1462</v>
      </c>
      <c r="B77" s="1053"/>
      <c r="C77" s="171"/>
      <c r="D77" s="1038" t="s">
        <v>1466</v>
      </c>
      <c r="E77" s="467"/>
      <c r="F77" s="468" t="s">
        <v>1480</v>
      </c>
      <c r="G77" s="467" t="s">
        <v>1464</v>
      </c>
      <c r="H77" s="1049"/>
      <c r="I77" s="1350">
        <f>'ATT H-9A'!H273</f>
        <v>0</v>
      </c>
    </row>
    <row r="78" spans="1:9" s="1053" customFormat="1" ht="15.5">
      <c r="A78" s="410" t="s">
        <v>1465</v>
      </c>
      <c r="C78" s="171"/>
      <c r="D78" s="1037" t="s">
        <v>1468</v>
      </c>
      <c r="F78" s="500"/>
      <c r="G78" s="1043" t="str">
        <f>"(Line "&amp;A74&amp;" + "&amp;A75&amp;" + "&amp;A76&amp;" + "&amp;A77&amp;")"</f>
        <v>(Line 136a + 136b + 136c + 136d)</v>
      </c>
      <c r="H78" s="1046"/>
      <c r="I78" s="188">
        <f>SUM(I74:I77)</f>
        <v>-10816238.304439642</v>
      </c>
    </row>
    <row r="79" spans="1:9" s="114" customFormat="1" ht="15.5">
      <c r="A79" s="410" t="s">
        <v>1467</v>
      </c>
      <c r="B79" s="1033"/>
      <c r="C79" s="1053"/>
      <c r="D79" s="1039" t="s">
        <v>1492</v>
      </c>
      <c r="E79" s="1045"/>
      <c r="F79" s="462"/>
      <c r="G79" s="966" t="str">
        <f>"(Line "&amp;A66&amp;")"</f>
        <v>(Line 132b)</v>
      </c>
      <c r="H79" s="1049"/>
      <c r="I79" s="1021">
        <f>I66</f>
        <v>1.380395621385089</v>
      </c>
    </row>
    <row r="80" spans="1:9" s="114" customFormat="1" ht="15.5">
      <c r="A80" s="410" t="s">
        <v>1469</v>
      </c>
      <c r="B80" s="1033"/>
      <c r="C80" s="1053"/>
      <c r="D80" s="1037" t="s">
        <v>1195</v>
      </c>
      <c r="E80" s="1040" t="s">
        <v>101</v>
      </c>
      <c r="F80" s="1053"/>
      <c r="G80" s="1043" t="str">
        <f>"(Line "&amp;A78&amp;" * "&amp;A79&amp;")"</f>
        <v>(Line 136e * 136f)</v>
      </c>
      <c r="H80" s="1046"/>
      <c r="I80" s="1044">
        <f>+I78*I79</f>
        <v>-14930687.99530616</v>
      </c>
    </row>
    <row r="81" spans="1:9" s="114" customFormat="1" ht="15.5">
      <c r="A81" s="1033"/>
      <c r="B81" s="1033"/>
      <c r="C81" s="1033"/>
      <c r="D81" s="1031"/>
      <c r="E81" s="1031"/>
      <c r="F81" s="245"/>
      <c r="G81" s="244"/>
      <c r="H81" s="240"/>
      <c r="I81" s="1345"/>
    </row>
    <row r="82" spans="1:9" s="114" customFormat="1" ht="15.5">
      <c r="A82" s="1033"/>
      <c r="B82" s="1033"/>
      <c r="C82" s="1033"/>
      <c r="D82" s="1031"/>
      <c r="E82" s="1031"/>
      <c r="F82" s="245"/>
      <c r="G82" s="244"/>
      <c r="H82" s="240"/>
      <c r="I82" s="1345"/>
    </row>
    <row r="83" spans="1:9" s="114" customFormat="1" ht="15.5">
      <c r="A83" s="1033">
        <v>137</v>
      </c>
      <c r="B83" s="1122"/>
      <c r="C83" s="1053" t="s">
        <v>239</v>
      </c>
      <c r="D83" s="1053"/>
      <c r="E83" s="1031" t="s">
        <v>240</v>
      </c>
      <c r="F83" s="238"/>
      <c r="G83" s="1043" t="s">
        <v>1499</v>
      </c>
      <c r="H83" s="1031"/>
      <c r="I83" s="1346">
        <f>+I65*(1-I51/I54)*I56</f>
        <v>23137994.90605453</v>
      </c>
    </row>
    <row r="84" spans="1:9" s="114" customFormat="1" ht="15.5">
      <c r="A84" s="1033"/>
      <c r="B84" s="1033"/>
      <c r="C84" s="1033"/>
      <c r="D84" s="1037"/>
      <c r="E84" s="1040"/>
      <c r="F84" s="1054"/>
      <c r="G84" s="1043"/>
      <c r="H84" s="1046"/>
      <c r="I84" s="1349"/>
    </row>
    <row r="85" spans="1:9" s="114" customFormat="1" ht="16" thickBot="1">
      <c r="A85" s="1033">
        <v>138</v>
      </c>
      <c r="B85" s="1122"/>
      <c r="C85" s="504" t="s">
        <v>241</v>
      </c>
      <c r="D85" s="261"/>
      <c r="E85" s="226"/>
      <c r="F85" s="262"/>
      <c r="G85" s="437" t="s">
        <v>1490</v>
      </c>
      <c r="H85" s="263"/>
      <c r="I85" s="1351">
        <f>+I83+I71+I80</f>
        <v>8176456.2892966792</v>
      </c>
    </row>
    <row r="86" spans="1:9" s="114" customFormat="1" ht="16" thickTop="1">
      <c r="A86" s="180"/>
      <c r="B86" s="180"/>
      <c r="C86" s="180"/>
      <c r="D86" s="244"/>
      <c r="E86" s="176"/>
      <c r="F86" s="164"/>
      <c r="G86" s="264"/>
      <c r="H86" s="265"/>
      <c r="I86" s="266"/>
    </row>
    <row r="87" spans="1:9" s="114" customFormat="1" ht="15.5"/>
    <row r="314" spans="1:6" ht="15.5">
      <c r="C314" s="8"/>
    </row>
    <row r="316" spans="1:6">
      <c r="A316" s="103"/>
      <c r="B316" s="103"/>
      <c r="C316" s="103"/>
      <c r="D316" s="103"/>
      <c r="E316" s="103"/>
      <c r="F316" s="103"/>
    </row>
    <row r="317" spans="1:6">
      <c r="A317" s="103"/>
      <c r="B317" s="103"/>
      <c r="C317" s="103"/>
      <c r="D317" s="103"/>
      <c r="E317" s="103"/>
      <c r="F317" s="103"/>
    </row>
    <row r="318" spans="1:6">
      <c r="A318" s="103"/>
      <c r="B318" s="103"/>
      <c r="C318" s="103"/>
      <c r="D318" s="103"/>
      <c r="E318" s="103"/>
      <c r="F318" s="103"/>
    </row>
    <row r="319" spans="1:6">
      <c r="A319" s="103"/>
      <c r="B319" s="103"/>
      <c r="C319" s="103"/>
      <c r="D319" s="103"/>
      <c r="E319" s="103"/>
      <c r="F319" s="103"/>
    </row>
    <row r="320" spans="1:6">
      <c r="A320" s="103"/>
      <c r="B320" s="103"/>
      <c r="C320" s="103"/>
      <c r="D320" s="103"/>
      <c r="E320" s="103"/>
      <c r="F320" s="103"/>
    </row>
    <row r="321" spans="1:6">
      <c r="A321" s="103"/>
      <c r="B321" s="103"/>
      <c r="C321" s="103"/>
      <c r="D321" s="103"/>
      <c r="E321" s="103"/>
      <c r="F321" s="103"/>
    </row>
    <row r="322" spans="1:6">
      <c r="A322" s="103"/>
      <c r="B322" s="103"/>
      <c r="C322" s="103"/>
      <c r="D322" s="103"/>
      <c r="E322" s="103"/>
      <c r="F322" s="103"/>
    </row>
    <row r="323" spans="1:6">
      <c r="A323" s="103"/>
      <c r="B323" s="103"/>
      <c r="C323" s="103"/>
      <c r="D323" s="103"/>
      <c r="E323" s="103"/>
      <c r="F323" s="103"/>
    </row>
    <row r="324" spans="1:6">
      <c r="A324" s="103"/>
      <c r="B324" s="103"/>
      <c r="C324" s="103"/>
      <c r="D324" s="103"/>
      <c r="E324" s="103"/>
      <c r="F324" s="103"/>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15"/>
  <sheetViews>
    <sheetView view="pageBreakPreview" topLeftCell="E329" zoomScale="35" zoomScaleNormal="82" zoomScaleSheetLayoutView="35" workbookViewId="0">
      <selection activeCell="E1" sqref="A1:XFD1048576"/>
    </sheetView>
  </sheetViews>
  <sheetFormatPr defaultColWidth="9.1796875" defaultRowHeight="14"/>
  <cols>
    <col min="1" max="1" width="6.453125" style="884" customWidth="1"/>
    <col min="2" max="2" width="4.26953125" style="884" customWidth="1"/>
    <col min="3" max="3" width="60.54296875" style="884" customWidth="1"/>
    <col min="4" max="4" width="22.54296875" style="884" customWidth="1"/>
    <col min="5" max="5" width="15.7265625" style="884" customWidth="1"/>
    <col min="6" max="6" width="44.1796875" style="884" customWidth="1"/>
    <col min="7" max="7" width="19" style="884" customWidth="1"/>
    <col min="8" max="8" width="15.7265625" style="884" customWidth="1"/>
    <col min="9" max="9" width="18.26953125" style="884" customWidth="1"/>
    <col min="10" max="10" width="17.54296875" style="884" customWidth="1"/>
    <col min="11" max="11" width="14.54296875" style="884" customWidth="1"/>
    <col min="12" max="12" width="16.81640625" style="884" customWidth="1"/>
    <col min="13" max="19" width="14.54296875" style="884" customWidth="1"/>
    <col min="20" max="20" width="16" style="884" customWidth="1"/>
    <col min="21" max="21" width="16.81640625" style="884" customWidth="1"/>
    <col min="22" max="22" width="15.1796875" style="884" customWidth="1"/>
    <col min="23" max="23" width="13.81640625" style="884" customWidth="1"/>
    <col min="24" max="24" width="14.54296875" style="884" customWidth="1"/>
    <col min="25" max="25" width="22.1796875" style="884" customWidth="1"/>
    <col min="26" max="26" width="12.81640625" style="884" customWidth="1"/>
    <col min="27" max="27" width="14.81640625" style="884" customWidth="1"/>
    <col min="28" max="28" width="12.81640625" style="884" customWidth="1"/>
    <col min="29" max="29" width="16.1796875" style="884" customWidth="1"/>
    <col min="30" max="16384" width="9.1796875" style="884"/>
  </cols>
  <sheetData>
    <row r="1" spans="1:17" ht="21" customHeight="1">
      <c r="A1" s="554"/>
      <c r="B1" s="248"/>
      <c r="D1" s="175"/>
      <c r="E1" s="1434"/>
      <c r="F1" s="1343"/>
      <c r="G1" s="1424" t="s">
        <v>343</v>
      </c>
      <c r="H1" s="101"/>
      <c r="I1" s="101"/>
      <c r="J1" s="101"/>
      <c r="K1" s="101"/>
      <c r="L1" s="101"/>
      <c r="M1" s="101"/>
      <c r="N1" s="101"/>
      <c r="O1" s="101"/>
      <c r="P1" s="101"/>
      <c r="Q1" s="101"/>
    </row>
    <row r="2" spans="1:17" ht="21" customHeight="1">
      <c r="A2" s="106"/>
      <c r="B2" s="248"/>
      <c r="D2" s="175"/>
      <c r="E2" s="1434"/>
      <c r="F2" s="1343"/>
      <c r="H2" s="101"/>
      <c r="I2" s="101"/>
      <c r="J2" s="101"/>
      <c r="K2" s="101"/>
      <c r="L2" s="101"/>
      <c r="M2" s="101"/>
      <c r="N2" s="101"/>
      <c r="O2" s="101"/>
      <c r="P2" s="101"/>
      <c r="Q2" s="1435"/>
    </row>
    <row r="3" spans="1:17" ht="21" customHeight="1">
      <c r="A3" s="106"/>
      <c r="B3" s="248"/>
      <c r="D3" s="175"/>
      <c r="E3" s="1434"/>
      <c r="F3" s="1343"/>
      <c r="G3" s="1436" t="s">
        <v>63</v>
      </c>
      <c r="H3" s="101"/>
      <c r="I3" s="101"/>
      <c r="J3" s="101"/>
      <c r="K3" s="101"/>
      <c r="L3" s="101"/>
      <c r="M3" s="101"/>
      <c r="N3" s="101"/>
      <c r="O3" s="101"/>
      <c r="P3" s="101"/>
      <c r="Q3" s="1435"/>
    </row>
    <row r="4" spans="1:17" ht="20.5" thickBot="1">
      <c r="A4" s="107" t="s">
        <v>64</v>
      </c>
      <c r="B4" s="248"/>
      <c r="D4" s="175"/>
      <c r="E4" s="1434"/>
      <c r="F4" s="1343"/>
      <c r="G4" s="101"/>
      <c r="H4" s="101"/>
      <c r="I4" s="101"/>
      <c r="J4" s="101"/>
      <c r="K4" s="101"/>
      <c r="L4" s="101"/>
      <c r="M4" s="101"/>
      <c r="N4" s="101"/>
      <c r="O4" s="101"/>
      <c r="P4" s="101"/>
      <c r="Q4" s="101"/>
    </row>
    <row r="5" spans="1:17" ht="39" customHeight="1">
      <c r="A5" s="1886" t="s">
        <v>65</v>
      </c>
      <c r="B5" s="1887"/>
      <c r="C5" s="1887"/>
      <c r="D5" s="1887"/>
      <c r="E5" s="1887"/>
      <c r="F5" s="1888"/>
      <c r="G5" s="1437" t="s">
        <v>66</v>
      </c>
      <c r="H5" s="1438" t="s">
        <v>67</v>
      </c>
      <c r="I5" s="1438" t="s">
        <v>68</v>
      </c>
      <c r="J5" s="1909" t="s">
        <v>18</v>
      </c>
      <c r="K5" s="1946"/>
      <c r="L5" s="1946"/>
      <c r="M5" s="1946"/>
      <c r="N5" s="1946"/>
      <c r="O5" s="1946"/>
      <c r="P5" s="1946"/>
      <c r="Q5" s="1947"/>
    </row>
    <row r="6" spans="1:17" ht="15.5">
      <c r="A6" s="1439"/>
      <c r="B6" s="1440" t="s">
        <v>69</v>
      </c>
      <c r="C6" s="175"/>
      <c r="D6" s="1003"/>
      <c r="E6" s="1441"/>
      <c r="F6" s="1442"/>
      <c r="G6" s="118"/>
      <c r="H6" s="112"/>
      <c r="I6" s="112"/>
      <c r="J6" s="1952"/>
      <c r="K6" s="1936"/>
      <c r="L6" s="1936"/>
      <c r="M6" s="1936"/>
      <c r="N6" s="1936"/>
      <c r="O6" s="1936"/>
      <c r="P6" s="1936"/>
      <c r="Q6" s="1937"/>
    </row>
    <row r="7" spans="1:17" ht="15.5">
      <c r="A7" s="1443">
        <v>10</v>
      </c>
      <c r="B7" s="1003"/>
      <c r="C7" s="1000" t="s">
        <v>188</v>
      </c>
      <c r="D7" s="175"/>
      <c r="E7" s="1444" t="s">
        <v>965</v>
      </c>
      <c r="F7" s="1445" t="s">
        <v>1140</v>
      </c>
      <c r="G7" s="1717">
        <f>+'9 - Rate Base'!I23</f>
        <v>99641134</v>
      </c>
      <c r="H7" s="986">
        <f>+G7</f>
        <v>99641134</v>
      </c>
      <c r="I7" s="108">
        <v>0</v>
      </c>
      <c r="J7" s="1953" t="s">
        <v>70</v>
      </c>
      <c r="K7" s="1954"/>
      <c r="L7" s="1954"/>
      <c r="M7" s="1954"/>
      <c r="N7" s="1954"/>
      <c r="O7" s="1954"/>
      <c r="P7" s="1954"/>
      <c r="Q7" s="1914"/>
    </row>
    <row r="8" spans="1:17" ht="15.5">
      <c r="A8" s="1443">
        <v>11</v>
      </c>
      <c r="B8" s="1003"/>
      <c r="C8" s="1000" t="s">
        <v>392</v>
      </c>
      <c r="D8" s="175"/>
      <c r="E8" s="1444" t="s">
        <v>965</v>
      </c>
      <c r="F8" s="1445" t="s">
        <v>1141</v>
      </c>
      <c r="G8" s="1447">
        <v>0</v>
      </c>
      <c r="H8" s="108">
        <v>0</v>
      </c>
      <c r="I8" s="108">
        <v>0</v>
      </c>
      <c r="J8" s="1953"/>
      <c r="K8" s="1954"/>
      <c r="L8" s="1954"/>
      <c r="M8" s="1954"/>
      <c r="N8" s="1954"/>
      <c r="O8" s="1954"/>
      <c r="P8" s="1954"/>
      <c r="Q8" s="1914"/>
    </row>
    <row r="9" spans="1:17" ht="15.5">
      <c r="A9" s="1443">
        <v>12</v>
      </c>
      <c r="B9" s="175"/>
      <c r="C9" s="1000" t="s">
        <v>394</v>
      </c>
      <c r="D9" s="175"/>
      <c r="E9" s="1444" t="s">
        <v>965</v>
      </c>
      <c r="F9" s="1445" t="s">
        <v>1142</v>
      </c>
      <c r="G9" s="1447">
        <v>0</v>
      </c>
      <c r="H9" s="108">
        <v>0</v>
      </c>
      <c r="I9" s="108">
        <v>0</v>
      </c>
      <c r="J9" s="1953"/>
      <c r="K9" s="1954"/>
      <c r="L9" s="1954"/>
      <c r="M9" s="1954"/>
      <c r="N9" s="1954"/>
      <c r="O9" s="1954"/>
      <c r="P9" s="1954"/>
      <c r="Q9" s="1914"/>
    </row>
    <row r="10" spans="1:17" ht="15.5">
      <c r="A10" s="1439"/>
      <c r="B10" s="1440" t="s">
        <v>71</v>
      </c>
      <c r="C10" s="175"/>
      <c r="D10" s="175"/>
      <c r="E10" s="1448"/>
      <c r="F10" s="1445"/>
      <c r="G10" s="118"/>
      <c r="H10" s="112"/>
      <c r="I10" s="112"/>
      <c r="J10" s="1449"/>
      <c r="K10" s="1450"/>
      <c r="L10" s="1450"/>
      <c r="M10" s="1450"/>
      <c r="N10" s="1450"/>
      <c r="O10" s="1450"/>
      <c r="P10" s="1450"/>
      <c r="Q10" s="1451"/>
    </row>
    <row r="11" spans="1:17" ht="15.5">
      <c r="A11" s="1443">
        <v>24</v>
      </c>
      <c r="B11" s="248"/>
      <c r="C11" s="1000" t="s">
        <v>404</v>
      </c>
      <c r="D11" s="175"/>
      <c r="E11" s="1444" t="s">
        <v>971</v>
      </c>
      <c r="F11" s="1445" t="s">
        <v>1143</v>
      </c>
      <c r="G11" s="1447">
        <v>0</v>
      </c>
      <c r="H11" s="108">
        <v>0</v>
      </c>
      <c r="I11" s="108">
        <v>0</v>
      </c>
      <c r="J11" s="1953"/>
      <c r="K11" s="1954"/>
      <c r="L11" s="1954"/>
      <c r="M11" s="1954"/>
      <c r="N11" s="1954"/>
      <c r="O11" s="1954"/>
      <c r="P11" s="1954"/>
      <c r="Q11" s="1914"/>
    </row>
    <row r="12" spans="1:17" ht="15.5">
      <c r="A12" s="1452"/>
      <c r="B12" s="1453" t="s">
        <v>72</v>
      </c>
      <c r="C12" s="186"/>
      <c r="D12" s="998"/>
      <c r="E12" s="1454"/>
      <c r="F12" s="1455"/>
      <c r="G12" s="118"/>
      <c r="H12" s="112"/>
      <c r="I12" s="112"/>
      <c r="J12" s="1449"/>
      <c r="K12" s="1450"/>
      <c r="L12" s="1450"/>
      <c r="M12" s="1450"/>
      <c r="N12" s="1450"/>
      <c r="O12" s="1450"/>
      <c r="P12" s="1450"/>
      <c r="Q12" s="1451"/>
    </row>
    <row r="13" spans="1:17" ht="15.5">
      <c r="A13" s="1443">
        <v>41</v>
      </c>
      <c r="B13" s="998"/>
      <c r="C13" s="1000" t="s">
        <v>417</v>
      </c>
      <c r="D13" s="1456"/>
      <c r="E13" s="1444" t="s">
        <v>973</v>
      </c>
      <c r="F13" s="1445" t="s">
        <v>1138</v>
      </c>
      <c r="G13" s="109">
        <f>-'1B - ADIT EOY'!E288</f>
        <v>1290754</v>
      </c>
      <c r="H13" s="108">
        <f>+G13</f>
        <v>1290754</v>
      </c>
      <c r="I13" s="108">
        <v>0</v>
      </c>
      <c r="J13" s="1953" t="s">
        <v>70</v>
      </c>
      <c r="K13" s="1954"/>
      <c r="L13" s="1954"/>
      <c r="M13" s="1954"/>
      <c r="N13" s="1954"/>
      <c r="O13" s="1954"/>
      <c r="P13" s="1954"/>
      <c r="Q13" s="1914"/>
    </row>
    <row r="14" spans="1:17" ht="15.5">
      <c r="A14" s="1443"/>
      <c r="B14" s="1453" t="s">
        <v>73</v>
      </c>
      <c r="C14" s="196"/>
      <c r="D14" s="998"/>
      <c r="E14" s="1457"/>
      <c r="F14" s="1458"/>
      <c r="G14" s="118"/>
      <c r="H14" s="112"/>
      <c r="I14" s="112"/>
      <c r="J14" s="1449"/>
      <c r="K14" s="1450"/>
      <c r="L14" s="1450"/>
      <c r="M14" s="1450"/>
      <c r="N14" s="1450"/>
      <c r="O14" s="1450"/>
      <c r="P14" s="1450"/>
      <c r="Q14" s="1451"/>
    </row>
    <row r="15" spans="1:17" ht="15.75" customHeight="1">
      <c r="A15" s="1452">
        <v>47</v>
      </c>
      <c r="B15" s="998"/>
      <c r="C15" s="196" t="s">
        <v>428</v>
      </c>
      <c r="D15" s="1040"/>
      <c r="E15" s="1457" t="s">
        <v>965</v>
      </c>
      <c r="F15" s="1459" t="s">
        <v>1144</v>
      </c>
      <c r="G15" s="1460">
        <v>0</v>
      </c>
      <c r="H15" s="108">
        <v>0</v>
      </c>
      <c r="I15" s="108">
        <v>0</v>
      </c>
      <c r="J15" s="1953" t="s">
        <v>70</v>
      </c>
      <c r="K15" s="1954"/>
      <c r="L15" s="1954"/>
      <c r="M15" s="1954"/>
      <c r="N15" s="1954"/>
      <c r="O15" s="1954"/>
      <c r="P15" s="1954"/>
      <c r="Q15" s="1914"/>
    </row>
    <row r="16" spans="1:17" ht="15.5">
      <c r="A16" s="1443"/>
      <c r="B16" s="1440" t="s">
        <v>74</v>
      </c>
      <c r="C16" s="196"/>
      <c r="D16" s="1040"/>
      <c r="E16" s="1448"/>
      <c r="F16" s="1459"/>
      <c r="G16" s="118"/>
      <c r="H16" s="112"/>
      <c r="I16" s="112"/>
      <c r="J16" s="1449"/>
      <c r="K16" s="1450"/>
      <c r="L16" s="1450"/>
      <c r="M16" s="1450"/>
      <c r="N16" s="1450"/>
      <c r="O16" s="1450"/>
      <c r="P16" s="1450"/>
      <c r="Q16" s="1451"/>
    </row>
    <row r="17" spans="1:17" ht="15.5">
      <c r="A17" s="1443">
        <v>65</v>
      </c>
      <c r="B17" s="1440"/>
      <c r="C17" s="1000" t="s">
        <v>450</v>
      </c>
      <c r="D17" s="1040"/>
      <c r="E17" s="1444" t="s">
        <v>965</v>
      </c>
      <c r="F17" s="1445" t="s">
        <v>451</v>
      </c>
      <c r="G17" s="1461"/>
      <c r="H17" s="112"/>
      <c r="I17" s="112"/>
      <c r="J17" s="1449"/>
      <c r="K17" s="1450"/>
      <c r="L17" s="1450"/>
      <c r="M17" s="1450"/>
      <c r="N17" s="1450"/>
      <c r="O17" s="1450"/>
      <c r="P17" s="1450"/>
      <c r="Q17" s="1451"/>
    </row>
    <row r="18" spans="1:17" ht="16" thickBot="1">
      <c r="A18" s="1462">
        <v>67</v>
      </c>
      <c r="B18" s="1463"/>
      <c r="C18" s="1464" t="s">
        <v>452</v>
      </c>
      <c r="D18" s="1465"/>
      <c r="E18" s="1466" t="s">
        <v>965</v>
      </c>
      <c r="F18" s="1467" t="s">
        <v>393</v>
      </c>
      <c r="G18" s="1468">
        <v>0</v>
      </c>
      <c r="H18" s="1398">
        <v>0</v>
      </c>
      <c r="I18" s="1398">
        <v>0</v>
      </c>
      <c r="J18" s="1955"/>
      <c r="K18" s="1956"/>
      <c r="L18" s="1956"/>
      <c r="M18" s="1956"/>
      <c r="N18" s="1956"/>
      <c r="O18" s="1956"/>
      <c r="P18" s="1956"/>
      <c r="Q18" s="1957"/>
    </row>
    <row r="19" spans="1:17">
      <c r="G19" s="101"/>
      <c r="H19" s="101"/>
      <c r="I19" s="101"/>
      <c r="J19" s="101"/>
      <c r="K19" s="101"/>
      <c r="L19" s="101"/>
      <c r="M19" s="101"/>
      <c r="N19" s="101"/>
      <c r="O19" s="101"/>
      <c r="P19" s="101"/>
      <c r="Q19" s="101"/>
    </row>
    <row r="20" spans="1:17">
      <c r="G20" s="101"/>
      <c r="H20" s="101"/>
      <c r="I20" s="101"/>
      <c r="J20" s="101"/>
      <c r="K20" s="101"/>
      <c r="L20" s="101"/>
      <c r="M20" s="101"/>
      <c r="N20" s="101"/>
      <c r="O20" s="101"/>
      <c r="P20" s="101"/>
      <c r="Q20" s="101"/>
    </row>
    <row r="21" spans="1:17" ht="20.5" thickBot="1">
      <c r="A21" s="107" t="s">
        <v>76</v>
      </c>
      <c r="G21" s="101"/>
      <c r="H21" s="101"/>
      <c r="I21" s="101"/>
      <c r="J21" s="101"/>
      <c r="K21" s="101"/>
      <c r="L21" s="101"/>
      <c r="M21" s="101"/>
      <c r="N21" s="101"/>
      <c r="O21" s="101"/>
      <c r="P21" s="101"/>
      <c r="Q21" s="101"/>
    </row>
    <row r="22" spans="1:17" ht="50.25" customHeight="1">
      <c r="A22" s="1886" t="s">
        <v>65</v>
      </c>
      <c r="B22" s="1887"/>
      <c r="C22" s="1887"/>
      <c r="D22" s="1887"/>
      <c r="E22" s="1887"/>
      <c r="F22" s="1888"/>
      <c r="G22" s="1438" t="s">
        <v>66</v>
      </c>
      <c r="H22" s="1438" t="s">
        <v>77</v>
      </c>
      <c r="I22" s="1438" t="s">
        <v>78</v>
      </c>
      <c r="J22" s="1909" t="s">
        <v>18</v>
      </c>
      <c r="K22" s="1946"/>
      <c r="L22" s="1946"/>
      <c r="M22" s="1946"/>
      <c r="N22" s="1946"/>
      <c r="O22" s="1946"/>
      <c r="P22" s="1946"/>
      <c r="Q22" s="1947"/>
    </row>
    <row r="23" spans="1:17" ht="33.75" customHeight="1">
      <c r="A23" s="1443">
        <v>28</v>
      </c>
      <c r="B23" s="1054"/>
      <c r="C23" s="1453" t="s">
        <v>408</v>
      </c>
      <c r="D23" s="1469"/>
      <c r="E23" s="1444" t="s">
        <v>82</v>
      </c>
      <c r="F23" s="1470" t="s">
        <v>1145</v>
      </c>
      <c r="G23" s="988">
        <v>43980813</v>
      </c>
      <c r="H23" s="1397">
        <v>0</v>
      </c>
      <c r="I23" s="1397">
        <f>+G23-H23</f>
        <v>43980813</v>
      </c>
      <c r="J23" s="1936" t="s">
        <v>79</v>
      </c>
      <c r="K23" s="1936"/>
      <c r="L23" s="1936"/>
      <c r="M23" s="1936"/>
      <c r="N23" s="1936"/>
      <c r="O23" s="1936"/>
      <c r="P23" s="1936"/>
      <c r="Q23" s="1937"/>
    </row>
    <row r="24" spans="1:17" ht="15.75" customHeight="1">
      <c r="A24" s="1443"/>
      <c r="B24" s="1440" t="s">
        <v>80</v>
      </c>
      <c r="C24" s="998"/>
      <c r="D24" s="1040"/>
      <c r="E24" s="1471"/>
      <c r="F24" s="1455"/>
      <c r="G24" s="1472"/>
      <c r="H24" s="1472"/>
      <c r="I24" s="1472"/>
      <c r="J24" s="1935"/>
      <c r="K24" s="1936"/>
      <c r="L24" s="1936"/>
      <c r="M24" s="1936"/>
      <c r="N24" s="1936"/>
      <c r="O24" s="1936"/>
      <c r="P24" s="1936"/>
      <c r="Q24" s="1937"/>
    </row>
    <row r="25" spans="1:17" ht="15.5">
      <c r="A25" s="1443"/>
      <c r="B25" s="1473"/>
      <c r="C25" s="1000"/>
      <c r="D25" s="1040"/>
      <c r="E25" s="1444"/>
      <c r="F25" s="1474"/>
      <c r="G25" s="112"/>
      <c r="H25" s="1475"/>
      <c r="I25" s="112"/>
      <c r="J25" s="112">
        <v>1</v>
      </c>
      <c r="K25" s="112"/>
      <c r="L25" s="112"/>
      <c r="M25" s="112"/>
      <c r="N25" s="112"/>
      <c r="O25" s="112"/>
      <c r="P25" s="112"/>
      <c r="Q25" s="119"/>
    </row>
    <row r="26" spans="1:17" ht="15.5">
      <c r="A26" s="1443"/>
      <c r="B26" s="1473"/>
      <c r="C26" s="1000"/>
      <c r="D26" s="1040"/>
      <c r="E26" s="1444"/>
      <c r="F26" s="1474"/>
      <c r="G26" s="112"/>
      <c r="H26" s="1476"/>
      <c r="I26" s="112"/>
      <c r="J26" s="112">
        <v>2</v>
      </c>
      <c r="K26" s="112"/>
      <c r="L26" s="112"/>
      <c r="M26" s="112"/>
      <c r="N26" s="112"/>
      <c r="O26" s="112"/>
      <c r="P26" s="112"/>
      <c r="Q26" s="119"/>
    </row>
    <row r="27" spans="1:17" ht="15.5">
      <c r="A27" s="1443"/>
      <c r="B27" s="1473"/>
      <c r="C27" s="1000"/>
      <c r="D27" s="1040"/>
      <c r="E27" s="1444"/>
      <c r="F27" s="1474"/>
      <c r="G27" s="112"/>
      <c r="H27" s="1476"/>
      <c r="I27" s="112"/>
      <c r="J27" s="112">
        <v>3</v>
      </c>
      <c r="K27" s="112"/>
      <c r="L27" s="112"/>
      <c r="M27" s="112"/>
      <c r="N27" s="112"/>
      <c r="O27" s="112"/>
      <c r="P27" s="112"/>
      <c r="Q27" s="119"/>
    </row>
    <row r="28" spans="1:17" ht="15.5">
      <c r="A28" s="1443"/>
      <c r="B28" s="1473"/>
      <c r="C28" s="1000"/>
      <c r="D28" s="1040"/>
      <c r="E28" s="1444"/>
      <c r="F28" s="1474"/>
      <c r="G28" s="112"/>
      <c r="H28" s="1476"/>
      <c r="I28" s="112"/>
      <c r="J28" s="112">
        <v>4</v>
      </c>
      <c r="K28" s="112"/>
      <c r="L28" s="112"/>
      <c r="M28" s="112"/>
      <c r="N28" s="112"/>
      <c r="O28" s="112"/>
      <c r="P28" s="112"/>
      <c r="Q28" s="119"/>
    </row>
    <row r="29" spans="1:17" ht="14.5" thickBot="1">
      <c r="A29" s="1477"/>
      <c r="B29" s="1478"/>
      <c r="C29" s="1478"/>
      <c r="D29" s="1479"/>
      <c r="E29" s="1478"/>
      <c r="F29" s="1480"/>
      <c r="G29" s="123"/>
      <c r="H29" s="122"/>
      <c r="I29" s="123"/>
      <c r="J29" s="123">
        <v>5</v>
      </c>
      <c r="K29" s="123"/>
      <c r="L29" s="123"/>
      <c r="M29" s="123"/>
      <c r="N29" s="123"/>
      <c r="O29" s="123"/>
      <c r="P29" s="123"/>
      <c r="Q29" s="1481"/>
    </row>
    <row r="30" spans="1:17" ht="20">
      <c r="A30" s="107" t="s">
        <v>84</v>
      </c>
      <c r="G30" s="101"/>
      <c r="H30" s="101"/>
      <c r="I30" s="101"/>
      <c r="J30" s="101"/>
      <c r="K30" s="101"/>
      <c r="L30" s="101"/>
      <c r="M30" s="101"/>
      <c r="N30" s="101"/>
      <c r="O30" s="101"/>
      <c r="P30" s="101"/>
      <c r="Q30" s="101"/>
    </row>
    <row r="31" spans="1:17" ht="61.5" customHeight="1">
      <c r="A31" s="1886" t="s">
        <v>65</v>
      </c>
      <c r="B31" s="1887"/>
      <c r="C31" s="1887"/>
      <c r="D31" s="1887"/>
      <c r="E31" s="1887"/>
      <c r="F31" s="1888"/>
      <c r="G31" s="1438" t="s">
        <v>66</v>
      </c>
      <c r="H31" s="1438" t="s">
        <v>85</v>
      </c>
      <c r="I31" s="1438" t="s">
        <v>86</v>
      </c>
      <c r="J31" s="1909" t="s">
        <v>18</v>
      </c>
      <c r="K31" s="1946"/>
      <c r="L31" s="1946"/>
      <c r="M31" s="1946"/>
      <c r="N31" s="1946"/>
      <c r="O31" s="1946"/>
      <c r="P31" s="1946"/>
      <c r="Q31" s="1947"/>
    </row>
    <row r="32" spans="1:17" ht="15.5">
      <c r="A32" s="1439"/>
      <c r="B32" s="1440" t="s">
        <v>69</v>
      </c>
      <c r="C32" s="186"/>
      <c r="D32" s="1003"/>
      <c r="E32" s="1441"/>
      <c r="F32" s="1442"/>
      <c r="G32" s="112"/>
      <c r="H32" s="112"/>
      <c r="I32" s="112"/>
      <c r="J32" s="1935"/>
      <c r="K32" s="1936"/>
      <c r="L32" s="1936"/>
      <c r="M32" s="1936"/>
      <c r="N32" s="1936"/>
      <c r="O32" s="1936"/>
      <c r="P32" s="1936"/>
      <c r="Q32" s="1937"/>
    </row>
    <row r="33" spans="1:19" ht="15.75" customHeight="1">
      <c r="A33" s="1443">
        <v>6</v>
      </c>
      <c r="B33" s="1003"/>
      <c r="C33" s="1000" t="s">
        <v>186</v>
      </c>
      <c r="D33" s="175"/>
      <c r="E33" s="1444" t="s">
        <v>422</v>
      </c>
      <c r="F33" s="1474" t="s">
        <v>1139</v>
      </c>
      <c r="G33" s="1717">
        <f>+'9A - Gross Plant &amp; ARO'!C23</f>
        <v>11088620830</v>
      </c>
      <c r="H33" s="32">
        <v>0</v>
      </c>
      <c r="I33" s="108">
        <v>0</v>
      </c>
      <c r="J33" s="1936"/>
      <c r="K33" s="1936"/>
      <c r="L33" s="1936"/>
      <c r="M33" s="1936"/>
      <c r="N33" s="1936"/>
      <c r="O33" s="1936"/>
      <c r="P33" s="1936"/>
      <c r="Q33" s="1937"/>
    </row>
    <row r="34" spans="1:19" ht="15.5">
      <c r="A34" s="1439"/>
      <c r="B34" s="1440" t="s">
        <v>71</v>
      </c>
      <c r="C34" s="186"/>
      <c r="D34" s="175"/>
      <c r="E34" s="1448"/>
      <c r="F34" s="1470"/>
      <c r="G34" s="1482"/>
      <c r="H34" s="112"/>
      <c r="I34" s="112"/>
      <c r="J34" s="1936"/>
      <c r="K34" s="1936"/>
      <c r="L34" s="1936"/>
      <c r="M34" s="1936"/>
      <c r="N34" s="1936"/>
      <c r="O34" s="1936"/>
      <c r="P34" s="1936"/>
      <c r="Q34" s="1937"/>
    </row>
    <row r="35" spans="1:19" ht="15.5">
      <c r="A35" s="1443">
        <v>19</v>
      </c>
      <c r="B35" s="248"/>
      <c r="C35" s="1000" t="s">
        <v>401</v>
      </c>
      <c r="D35" s="175"/>
      <c r="E35" s="1444" t="s">
        <v>422</v>
      </c>
      <c r="F35" s="1470" t="s">
        <v>1146</v>
      </c>
      <c r="G35" s="1717">
        <f>+'9 - Rate Base'!C23</f>
        <v>1864901730</v>
      </c>
      <c r="H35" s="32">
        <v>0</v>
      </c>
      <c r="I35" s="32">
        <v>0</v>
      </c>
      <c r="J35" s="1936" t="s">
        <v>87</v>
      </c>
      <c r="K35" s="1936"/>
      <c r="L35" s="1936"/>
      <c r="M35" s="1936"/>
      <c r="N35" s="1936"/>
      <c r="O35" s="1936"/>
      <c r="P35" s="1936"/>
      <c r="Q35" s="1937"/>
    </row>
    <row r="36" spans="1:19" ht="15.5">
      <c r="A36" s="1439">
        <v>24</v>
      </c>
      <c r="B36" s="1003"/>
      <c r="C36" s="186" t="s">
        <v>404</v>
      </c>
      <c r="D36" s="1003"/>
      <c r="E36" s="1483" t="s">
        <v>971</v>
      </c>
      <c r="F36" s="1484" t="s">
        <v>935</v>
      </c>
      <c r="G36" s="1430">
        <v>0</v>
      </c>
      <c r="H36" s="32">
        <v>0</v>
      </c>
      <c r="I36" s="32">
        <v>0</v>
      </c>
      <c r="J36" s="1936"/>
      <c r="K36" s="1936"/>
      <c r="L36" s="1936"/>
      <c r="M36" s="1936"/>
      <c r="N36" s="1936"/>
      <c r="O36" s="1936"/>
      <c r="P36" s="1936"/>
      <c r="Q36" s="1937"/>
    </row>
    <row r="37" spans="1:19" ht="15.5">
      <c r="A37" s="1443"/>
      <c r="B37" s="1440" t="s">
        <v>88</v>
      </c>
      <c r="C37" s="1453"/>
      <c r="D37" s="1026"/>
      <c r="E37" s="1485"/>
      <c r="F37" s="1484"/>
      <c r="G37" s="1472"/>
      <c r="H37" s="112"/>
      <c r="I37" s="112"/>
      <c r="J37" s="112"/>
      <c r="K37" s="112"/>
      <c r="L37" s="112"/>
      <c r="M37" s="112"/>
      <c r="N37" s="112"/>
      <c r="O37" s="112"/>
      <c r="P37" s="112"/>
      <c r="Q37" s="119"/>
    </row>
    <row r="38" spans="1:19" ht="16" thickBot="1">
      <c r="A38" s="1462">
        <v>30</v>
      </c>
      <c r="B38" s="1486"/>
      <c r="C38" s="1464" t="s">
        <v>410</v>
      </c>
      <c r="D38" s="1487"/>
      <c r="E38" s="1466" t="s">
        <v>422</v>
      </c>
      <c r="F38" s="1488" t="s">
        <v>1147</v>
      </c>
      <c r="G38" s="987">
        <f>+'9 - Rate Base'!F23</f>
        <v>605660281</v>
      </c>
      <c r="H38" s="1489">
        <v>0</v>
      </c>
      <c r="I38" s="1489">
        <v>0</v>
      </c>
      <c r="J38" s="1933" t="s">
        <v>87</v>
      </c>
      <c r="K38" s="1933"/>
      <c r="L38" s="1933"/>
      <c r="M38" s="1933"/>
      <c r="N38" s="1933"/>
      <c r="O38" s="1933"/>
      <c r="P38" s="1933"/>
      <c r="Q38" s="1934"/>
    </row>
    <row r="39" spans="1:19">
      <c r="G39" s="101"/>
      <c r="H39" s="101"/>
      <c r="I39" s="101"/>
      <c r="J39" s="101"/>
      <c r="K39" s="101"/>
      <c r="L39" s="101"/>
      <c r="M39" s="101"/>
      <c r="N39" s="101"/>
      <c r="O39" s="101"/>
      <c r="P39" s="101"/>
      <c r="Q39" s="101"/>
    </row>
    <row r="40" spans="1:19">
      <c r="G40" s="101"/>
      <c r="H40" s="101"/>
      <c r="I40" s="101"/>
      <c r="J40" s="101"/>
      <c r="K40" s="101"/>
      <c r="L40" s="101"/>
      <c r="M40" s="101"/>
      <c r="N40" s="101"/>
      <c r="O40" s="101"/>
      <c r="P40" s="101"/>
      <c r="Q40" s="101"/>
    </row>
    <row r="41" spans="1:19" ht="20.5" thickBot="1">
      <c r="A41" s="107" t="s">
        <v>89</v>
      </c>
      <c r="G41" s="101"/>
      <c r="H41" s="101"/>
      <c r="I41" s="101"/>
      <c r="J41" s="101"/>
      <c r="K41" s="101"/>
      <c r="L41" s="101"/>
      <c r="M41" s="101"/>
      <c r="N41" s="101"/>
      <c r="O41" s="101"/>
      <c r="P41" s="101"/>
      <c r="Q41" s="101"/>
      <c r="S41" s="1490"/>
    </row>
    <row r="42" spans="1:19" ht="18">
      <c r="A42" s="1886" t="s">
        <v>65</v>
      </c>
      <c r="B42" s="1887"/>
      <c r="C42" s="1887"/>
      <c r="D42" s="1887"/>
      <c r="E42" s="1887"/>
      <c r="F42" s="1888"/>
      <c r="G42" s="1438" t="s">
        <v>66</v>
      </c>
      <c r="H42" s="1438" t="s">
        <v>90</v>
      </c>
      <c r="I42" s="1438"/>
      <c r="J42" s="1909" t="s">
        <v>18</v>
      </c>
      <c r="K42" s="1946"/>
      <c r="L42" s="1946"/>
      <c r="M42" s="1946"/>
      <c r="N42" s="1946"/>
      <c r="O42" s="1946"/>
      <c r="P42" s="1946"/>
      <c r="Q42" s="1947"/>
    </row>
    <row r="43" spans="1:19" ht="15.5">
      <c r="A43" s="1443"/>
      <c r="B43" s="1440" t="s">
        <v>74</v>
      </c>
      <c r="C43" s="1040"/>
      <c r="D43" s="1040"/>
      <c r="E43" s="1491"/>
      <c r="F43" s="1459"/>
      <c r="G43" s="112"/>
      <c r="H43" s="112"/>
      <c r="I43" s="112"/>
      <c r="J43" s="1935"/>
      <c r="K43" s="1936"/>
      <c r="L43" s="1936"/>
      <c r="M43" s="1936"/>
      <c r="N43" s="1936"/>
      <c r="O43" s="1936"/>
      <c r="P43" s="1936"/>
      <c r="Q43" s="1937"/>
    </row>
    <row r="44" spans="1:19" ht="15.5">
      <c r="A44" s="1462">
        <v>73</v>
      </c>
      <c r="B44" s="1463"/>
      <c r="C44" s="1464" t="s">
        <v>463</v>
      </c>
      <c r="D44" s="1492"/>
      <c r="E44" s="1466" t="s">
        <v>979</v>
      </c>
      <c r="F44" s="1488" t="s">
        <v>464</v>
      </c>
      <c r="G44" s="985">
        <v>573172</v>
      </c>
      <c r="H44" s="1432">
        <v>269391</v>
      </c>
      <c r="I44" s="1489"/>
      <c r="J44" s="1933" t="s">
        <v>2168</v>
      </c>
      <c r="K44" s="1933"/>
      <c r="L44" s="1933"/>
      <c r="M44" s="1933"/>
      <c r="N44" s="1933"/>
      <c r="O44" s="1933"/>
      <c r="P44" s="1933"/>
      <c r="Q44" s="1934"/>
    </row>
    <row r="45" spans="1:19">
      <c r="G45" s="101"/>
      <c r="H45" s="101"/>
      <c r="I45" s="101"/>
      <c r="J45" s="101"/>
      <c r="K45" s="101"/>
      <c r="L45" s="101"/>
      <c r="M45" s="101"/>
      <c r="N45" s="101"/>
      <c r="O45" s="101"/>
      <c r="P45" s="101"/>
      <c r="Q45" s="101"/>
    </row>
    <row r="46" spans="1:19">
      <c r="G46" s="101"/>
      <c r="H46" s="101"/>
      <c r="I46" s="101"/>
      <c r="J46" s="101"/>
      <c r="K46" s="101"/>
      <c r="L46" s="101"/>
      <c r="M46" s="101"/>
      <c r="N46" s="101"/>
      <c r="O46" s="101"/>
      <c r="P46" s="101"/>
      <c r="Q46" s="101"/>
    </row>
    <row r="47" spans="1:19" ht="20.5" thickBot="1">
      <c r="A47" s="107" t="s">
        <v>91</v>
      </c>
      <c r="G47" s="101"/>
      <c r="H47" s="101"/>
      <c r="I47" s="101"/>
      <c r="J47" s="101"/>
      <c r="K47" s="101"/>
      <c r="L47" s="101"/>
      <c r="M47" s="101"/>
      <c r="N47" s="101"/>
      <c r="O47" s="101"/>
      <c r="P47" s="101"/>
      <c r="Q47" s="101"/>
    </row>
    <row r="48" spans="1:19" ht="51" customHeight="1">
      <c r="A48" s="1886" t="s">
        <v>65</v>
      </c>
      <c r="B48" s="1887"/>
      <c r="C48" s="1887"/>
      <c r="D48" s="1887"/>
      <c r="E48" s="1887"/>
      <c r="F48" s="1888"/>
      <c r="G48" s="1438" t="s">
        <v>66</v>
      </c>
      <c r="H48" s="1438" t="s">
        <v>77</v>
      </c>
      <c r="I48" s="1438" t="s">
        <v>78</v>
      </c>
      <c r="J48" s="1909" t="s">
        <v>18</v>
      </c>
      <c r="K48" s="1946"/>
      <c r="L48" s="1946"/>
      <c r="M48" s="1946"/>
      <c r="N48" s="1946"/>
      <c r="O48" s="1946"/>
      <c r="P48" s="1946"/>
      <c r="Q48" s="1947"/>
    </row>
    <row r="49" spans="1:17" ht="15.5">
      <c r="A49" s="1443"/>
      <c r="B49" s="1440" t="s">
        <v>74</v>
      </c>
      <c r="C49" s="1040"/>
      <c r="D49" s="1040"/>
      <c r="E49" s="1491"/>
      <c r="F49" s="1459"/>
      <c r="G49" s="112"/>
      <c r="H49" s="112"/>
      <c r="I49" s="112"/>
      <c r="J49" s="112"/>
      <c r="K49" s="112"/>
      <c r="L49" s="112"/>
      <c r="M49" s="112"/>
      <c r="N49" s="112"/>
      <c r="O49" s="112"/>
      <c r="P49" s="112"/>
      <c r="Q49" s="119"/>
    </row>
    <row r="50" spans="1:17" ht="15.5">
      <c r="A50" s="1443">
        <v>70</v>
      </c>
      <c r="B50" s="1054"/>
      <c r="C50" s="1000" t="s">
        <v>458</v>
      </c>
      <c r="D50" s="1026"/>
      <c r="E50" s="1444" t="s">
        <v>978</v>
      </c>
      <c r="F50" s="1474" t="s">
        <v>83</v>
      </c>
      <c r="G50" s="1717">
        <f>'11B - A&amp;G'!$E$18</f>
        <v>3098865</v>
      </c>
      <c r="H50" s="1428">
        <f>'11B - A&amp;G'!$J$18</f>
        <v>417493</v>
      </c>
      <c r="I50" s="1397">
        <f>+G50-H50</f>
        <v>2681372</v>
      </c>
      <c r="J50" s="1493" t="s">
        <v>2166</v>
      </c>
      <c r="K50" s="1494"/>
      <c r="L50" s="1494"/>
      <c r="M50" s="1494"/>
      <c r="N50" s="1494"/>
      <c r="O50" s="1494"/>
      <c r="P50" s="1494"/>
      <c r="Q50" s="1495"/>
    </row>
    <row r="51" spans="1:17" ht="15.5">
      <c r="A51" s="1443"/>
      <c r="B51" s="1440" t="s">
        <v>80</v>
      </c>
      <c r="C51" s="196"/>
      <c r="D51" s="1040"/>
      <c r="E51" s="1485"/>
      <c r="F51" s="1496"/>
      <c r="G51" s="1497"/>
      <c r="H51" s="1497"/>
      <c r="I51" s="1497"/>
      <c r="J51" s="112"/>
      <c r="K51" s="112"/>
      <c r="L51" s="112"/>
      <c r="M51" s="112"/>
      <c r="N51" s="112"/>
      <c r="O51" s="112"/>
      <c r="P51" s="112"/>
      <c r="Q51" s="119"/>
    </row>
    <row r="52" spans="1:17" ht="16" thickBot="1">
      <c r="A52" s="1462">
        <v>77</v>
      </c>
      <c r="B52" s="1498"/>
      <c r="C52" s="1464" t="s">
        <v>81</v>
      </c>
      <c r="D52" s="1499"/>
      <c r="E52" s="1466" t="s">
        <v>981</v>
      </c>
      <c r="F52" s="1500" t="s">
        <v>83</v>
      </c>
      <c r="G52" s="985">
        <f>G50</f>
        <v>3098865</v>
      </c>
      <c r="H52" s="1432">
        <f>H50</f>
        <v>417493</v>
      </c>
      <c r="I52" s="1398">
        <f>+G52-H52</f>
        <v>2681372</v>
      </c>
      <c r="J52" s="1961" t="s">
        <v>2166</v>
      </c>
      <c r="K52" s="1961"/>
      <c r="L52" s="1961"/>
      <c r="M52" s="1961"/>
      <c r="N52" s="1961"/>
      <c r="O52" s="1961"/>
      <c r="P52" s="1961"/>
      <c r="Q52" s="1962"/>
    </row>
    <row r="53" spans="1:17">
      <c r="G53" s="289"/>
      <c r="H53" s="289"/>
      <c r="I53" s="289" t="s">
        <v>2167</v>
      </c>
      <c r="J53" s="101"/>
      <c r="K53" s="101"/>
      <c r="L53" s="101"/>
      <c r="M53" s="101"/>
      <c r="N53" s="101"/>
      <c r="O53" s="101"/>
      <c r="P53" s="101"/>
      <c r="Q53" s="101"/>
    </row>
    <row r="54" spans="1:17">
      <c r="G54" s="101"/>
      <c r="H54" s="101"/>
      <c r="I54" s="101"/>
      <c r="J54" s="101"/>
      <c r="K54" s="101"/>
      <c r="L54" s="101"/>
      <c r="M54" s="101"/>
      <c r="N54" s="101"/>
      <c r="O54" s="101"/>
      <c r="P54" s="101"/>
      <c r="Q54" s="101"/>
    </row>
    <row r="55" spans="1:17" ht="20.5" thickBot="1">
      <c r="A55" s="107" t="s">
        <v>92</v>
      </c>
      <c r="G55" s="101"/>
      <c r="H55" s="101"/>
      <c r="I55" s="101"/>
      <c r="J55" s="101"/>
      <c r="K55" s="101"/>
      <c r="L55" s="101"/>
      <c r="M55" s="101"/>
      <c r="N55" s="101"/>
      <c r="O55" s="101"/>
      <c r="P55" s="101"/>
      <c r="Q55" s="101"/>
    </row>
    <row r="56" spans="1:17" ht="42" customHeight="1">
      <c r="A56" s="1886" t="s">
        <v>65</v>
      </c>
      <c r="B56" s="1887"/>
      <c r="C56" s="1887"/>
      <c r="D56" s="1887"/>
      <c r="E56" s="1887"/>
      <c r="F56" s="1888"/>
      <c r="G56" s="1438" t="s">
        <v>66</v>
      </c>
      <c r="H56" s="1438" t="s">
        <v>93</v>
      </c>
      <c r="I56" s="1438" t="s">
        <v>94</v>
      </c>
      <c r="J56" s="1909" t="s">
        <v>18</v>
      </c>
      <c r="K56" s="1946"/>
      <c r="L56" s="1946"/>
      <c r="M56" s="1946"/>
      <c r="N56" s="1946"/>
      <c r="O56" s="1946"/>
      <c r="P56" s="1946"/>
      <c r="Q56" s="1947"/>
    </row>
    <row r="57" spans="1:17" ht="15.5">
      <c r="A57" s="1443"/>
      <c r="B57" s="1440" t="s">
        <v>80</v>
      </c>
      <c r="C57" s="998"/>
      <c r="D57" s="1040"/>
      <c r="E57" s="1471"/>
      <c r="F57" s="1455"/>
      <c r="G57" s="112"/>
      <c r="H57" s="112"/>
      <c r="I57" s="112"/>
      <c r="J57" s="112"/>
      <c r="K57" s="112"/>
      <c r="L57" s="112"/>
      <c r="M57" s="112"/>
      <c r="N57" s="112"/>
      <c r="O57" s="112"/>
      <c r="P57" s="112"/>
      <c r="Q57" s="119"/>
    </row>
    <row r="58" spans="1:17" ht="16" thickBot="1">
      <c r="A58" s="1501">
        <v>81</v>
      </c>
      <c r="B58" s="1498"/>
      <c r="C58" s="1502" t="s">
        <v>467</v>
      </c>
      <c r="D58" s="1465"/>
      <c r="E58" s="1503" t="s">
        <v>757</v>
      </c>
      <c r="F58" s="1504" t="s">
        <v>460</v>
      </c>
      <c r="G58" s="985">
        <f>$G$71</f>
        <v>1404879</v>
      </c>
      <c r="H58" s="1432">
        <v>0</v>
      </c>
      <c r="I58" s="1432">
        <f>+G58-H58</f>
        <v>1404879</v>
      </c>
      <c r="J58" s="1944" t="s">
        <v>95</v>
      </c>
      <c r="K58" s="1944"/>
      <c r="L58" s="1944"/>
      <c r="M58" s="1944"/>
      <c r="N58" s="1944"/>
      <c r="O58" s="1944"/>
      <c r="P58" s="1944"/>
      <c r="Q58" s="1945"/>
    </row>
    <row r="59" spans="1:17" ht="15.5">
      <c r="A59" s="248"/>
      <c r="B59" s="1473"/>
      <c r="C59" s="1000"/>
      <c r="D59" s="1040"/>
      <c r="E59" s="1457"/>
      <c r="F59" s="1000"/>
      <c r="G59" s="1475"/>
      <c r="H59" s="1475"/>
      <c r="I59" s="1475"/>
      <c r="J59" s="1505"/>
      <c r="K59" s="1506"/>
      <c r="L59" s="1506"/>
      <c r="M59" s="1506"/>
      <c r="N59" s="1506"/>
      <c r="O59" s="1506"/>
      <c r="P59" s="1506"/>
      <c r="Q59" s="1506"/>
    </row>
    <row r="60" spans="1:17">
      <c r="G60" s="101"/>
      <c r="H60" s="101"/>
      <c r="I60" s="101"/>
      <c r="J60" s="101"/>
      <c r="K60" s="101"/>
      <c r="L60" s="101"/>
      <c r="M60" s="101"/>
      <c r="N60" s="101"/>
      <c r="O60" s="101"/>
      <c r="P60" s="101"/>
      <c r="Q60" s="101"/>
    </row>
    <row r="61" spans="1:17" ht="20.5" thickBot="1">
      <c r="A61" s="107" t="s">
        <v>1878</v>
      </c>
      <c r="G61" s="101"/>
      <c r="H61" s="101"/>
      <c r="I61" s="101"/>
      <c r="J61" s="101"/>
      <c r="K61" s="101"/>
      <c r="L61" s="101"/>
      <c r="M61" s="101"/>
      <c r="N61" s="101"/>
      <c r="O61" s="101"/>
      <c r="P61" s="101"/>
      <c r="Q61" s="101"/>
    </row>
    <row r="62" spans="1:17" ht="18">
      <c r="A62" s="1886" t="s">
        <v>65</v>
      </c>
      <c r="B62" s="1887"/>
      <c r="C62" s="1887"/>
      <c r="D62" s="1887"/>
      <c r="E62" s="1887"/>
      <c r="F62" s="1888"/>
      <c r="G62" s="1438" t="s">
        <v>96</v>
      </c>
      <c r="H62" s="1438" t="s">
        <v>97</v>
      </c>
      <c r="I62" s="1438" t="s">
        <v>98</v>
      </c>
      <c r="J62" s="1438" t="s">
        <v>99</v>
      </c>
      <c r="K62" s="1438" t="s">
        <v>100</v>
      </c>
      <c r="L62" s="1909" t="s">
        <v>18</v>
      </c>
      <c r="M62" s="1946"/>
      <c r="N62" s="1946"/>
      <c r="O62" s="1946"/>
      <c r="P62" s="1946"/>
      <c r="Q62" s="1947"/>
    </row>
    <row r="63" spans="1:17" ht="15.5">
      <c r="A63" s="1507" t="s">
        <v>101</v>
      </c>
      <c r="B63" s="1508" t="s">
        <v>102</v>
      </c>
      <c r="C63" s="175"/>
      <c r="D63" s="175"/>
      <c r="E63" s="1471"/>
      <c r="F63" s="1509"/>
      <c r="G63" s="112"/>
      <c r="H63" s="112"/>
      <c r="I63" s="112"/>
      <c r="J63" s="112"/>
      <c r="K63" s="112"/>
      <c r="L63" s="112"/>
      <c r="M63" s="112"/>
      <c r="N63" s="112"/>
      <c r="O63" s="112"/>
      <c r="P63" s="112"/>
      <c r="Q63" s="119"/>
    </row>
    <row r="64" spans="1:17" ht="15.5">
      <c r="A64" s="1507"/>
      <c r="B64" s="1508"/>
      <c r="C64" s="175"/>
      <c r="D64" s="175"/>
      <c r="E64" s="1471"/>
      <c r="F64" s="1509"/>
      <c r="G64" s="1475" t="s">
        <v>103</v>
      </c>
      <c r="H64" s="1475" t="s">
        <v>104</v>
      </c>
      <c r="I64" s="1475" t="s">
        <v>105</v>
      </c>
      <c r="J64" s="1475" t="s">
        <v>105</v>
      </c>
      <c r="K64" s="1475" t="s">
        <v>105</v>
      </c>
      <c r="L64" s="1935" t="s">
        <v>106</v>
      </c>
      <c r="M64" s="1948"/>
      <c r="N64" s="1948"/>
      <c r="O64" s="1948"/>
      <c r="P64" s="1948"/>
      <c r="Q64" s="1949"/>
    </row>
    <row r="65" spans="1:20" ht="16.5" customHeight="1" thickBot="1">
      <c r="A65" s="1501">
        <v>129</v>
      </c>
      <c r="B65" s="1486"/>
      <c r="C65" s="1502" t="s">
        <v>229</v>
      </c>
      <c r="D65" s="1510"/>
      <c r="E65" s="1503" t="s">
        <v>999</v>
      </c>
      <c r="F65" s="1511">
        <v>8.3000000000000004E-2</v>
      </c>
      <c r="G65" s="1512">
        <v>8.2500000000000004E-2</v>
      </c>
      <c r="H65" s="1512">
        <v>8.2500000000000004E-2</v>
      </c>
      <c r="I65" s="1489" t="s">
        <v>107</v>
      </c>
      <c r="J65" s="1489" t="s">
        <v>107</v>
      </c>
      <c r="K65" s="1489" t="s">
        <v>107</v>
      </c>
      <c r="L65" s="1933" t="s">
        <v>1200</v>
      </c>
      <c r="M65" s="1950"/>
      <c r="N65" s="1950"/>
      <c r="O65" s="1950"/>
      <c r="P65" s="1950"/>
      <c r="Q65" s="1951"/>
      <c r="S65" s="1430"/>
      <c r="T65" s="1493"/>
    </row>
    <row r="66" spans="1:20">
      <c r="G66" s="101"/>
      <c r="H66" s="101"/>
      <c r="I66" s="101"/>
      <c r="J66" s="101"/>
      <c r="K66" s="101"/>
      <c r="L66" s="101"/>
      <c r="M66" s="101"/>
      <c r="N66" s="101"/>
      <c r="O66" s="101"/>
      <c r="P66" s="101"/>
      <c r="Q66" s="101"/>
    </row>
    <row r="67" spans="1:20">
      <c r="G67" s="101"/>
      <c r="H67" s="101"/>
      <c r="I67" s="101"/>
      <c r="J67" s="101"/>
      <c r="K67" s="101"/>
      <c r="L67" s="101"/>
      <c r="M67" s="101"/>
      <c r="N67" s="101"/>
      <c r="O67" s="101"/>
      <c r="P67" s="101"/>
      <c r="Q67" s="101"/>
    </row>
    <row r="68" spans="1:20" ht="20.5" thickBot="1">
      <c r="A68" s="107" t="s">
        <v>108</v>
      </c>
      <c r="G68" s="101"/>
      <c r="H68" s="101"/>
      <c r="I68" s="101"/>
      <c r="J68" s="101"/>
      <c r="K68" s="101"/>
      <c r="L68" s="101"/>
      <c r="M68" s="101"/>
      <c r="N68" s="101"/>
      <c r="O68" s="101"/>
      <c r="P68" s="101"/>
      <c r="Q68" s="101"/>
    </row>
    <row r="69" spans="1:20" ht="27">
      <c r="A69" s="1886" t="s">
        <v>65</v>
      </c>
      <c r="B69" s="1887"/>
      <c r="C69" s="1887"/>
      <c r="D69" s="1887"/>
      <c r="E69" s="1887"/>
      <c r="F69" s="1888"/>
      <c r="G69" s="1438" t="s">
        <v>66</v>
      </c>
      <c r="H69" s="1438" t="s">
        <v>109</v>
      </c>
      <c r="I69" s="1438" t="s">
        <v>110</v>
      </c>
      <c r="J69" s="1909" t="s">
        <v>18</v>
      </c>
      <c r="K69" s="1946"/>
      <c r="L69" s="1946"/>
      <c r="M69" s="1946"/>
      <c r="N69" s="1946"/>
      <c r="O69" s="1946"/>
      <c r="P69" s="1946"/>
      <c r="Q69" s="1947"/>
    </row>
    <row r="70" spans="1:20" ht="15.5">
      <c r="A70" s="1443"/>
      <c r="B70" s="1440" t="s">
        <v>80</v>
      </c>
      <c r="C70" s="998"/>
      <c r="D70" s="1040"/>
      <c r="E70" s="1471"/>
      <c r="F70" s="1455"/>
      <c r="G70" s="112"/>
      <c r="H70" s="112"/>
      <c r="I70" s="112"/>
      <c r="J70" s="112"/>
      <c r="K70" s="112"/>
      <c r="L70" s="112"/>
      <c r="M70" s="112"/>
      <c r="N70" s="112"/>
      <c r="O70" s="112"/>
      <c r="P70" s="112"/>
      <c r="Q70" s="119"/>
    </row>
    <row r="71" spans="1:20" ht="16" thickBot="1">
      <c r="A71" s="1501">
        <v>78</v>
      </c>
      <c r="B71" s="1498"/>
      <c r="C71" s="1502" t="s">
        <v>467</v>
      </c>
      <c r="D71" s="1513"/>
      <c r="E71" s="1503" t="s">
        <v>755</v>
      </c>
      <c r="F71" s="1504" t="s">
        <v>460</v>
      </c>
      <c r="G71" s="985">
        <f>'11B - A&amp;G'!$E$20</f>
        <v>1404879</v>
      </c>
      <c r="H71" s="1432">
        <v>0</v>
      </c>
      <c r="I71" s="1432">
        <f>+G71-H71</f>
        <v>1404879</v>
      </c>
      <c r="J71" s="1943" t="s">
        <v>95</v>
      </c>
      <c r="K71" s="1933"/>
      <c r="L71" s="1933"/>
      <c r="M71" s="1933"/>
      <c r="N71" s="1933"/>
      <c r="O71" s="1933"/>
      <c r="P71" s="1933"/>
      <c r="Q71" s="1934"/>
    </row>
    <row r="72" spans="1:20">
      <c r="G72" s="101"/>
      <c r="H72" s="101"/>
      <c r="I72" s="101"/>
      <c r="J72" s="101"/>
      <c r="K72" s="101"/>
      <c r="L72" s="101"/>
      <c r="M72" s="101"/>
      <c r="N72" s="101"/>
      <c r="O72" s="101"/>
      <c r="P72" s="101"/>
      <c r="Q72" s="101"/>
    </row>
    <row r="73" spans="1:20">
      <c r="G73" s="101"/>
      <c r="H73" s="101"/>
      <c r="I73" s="101"/>
      <c r="J73" s="101"/>
      <c r="K73" s="101"/>
      <c r="L73" s="101"/>
      <c r="M73" s="101"/>
      <c r="N73" s="101"/>
      <c r="O73" s="101"/>
      <c r="P73" s="101"/>
      <c r="Q73" s="101"/>
    </row>
    <row r="74" spans="1:20" ht="20.5" thickBot="1">
      <c r="A74" s="107" t="s">
        <v>111</v>
      </c>
      <c r="G74" s="101"/>
      <c r="H74" s="101"/>
      <c r="I74" s="101"/>
      <c r="J74" s="101"/>
      <c r="K74" s="101"/>
      <c r="L74" s="101"/>
      <c r="M74" s="101"/>
      <c r="N74" s="101"/>
      <c r="O74" s="101"/>
      <c r="P74" s="101"/>
      <c r="Q74" s="101"/>
    </row>
    <row r="75" spans="1:20" ht="40">
      <c r="A75" s="1886" t="s">
        <v>65</v>
      </c>
      <c r="B75" s="1887"/>
      <c r="C75" s="1887"/>
      <c r="D75" s="1887"/>
      <c r="E75" s="1887"/>
      <c r="F75" s="1887"/>
      <c r="G75" s="1437" t="s">
        <v>538</v>
      </c>
      <c r="H75" s="1909" t="s">
        <v>112</v>
      </c>
      <c r="I75" s="1930"/>
      <c r="J75" s="1930"/>
      <c r="K75" s="1930"/>
      <c r="L75" s="1930"/>
      <c r="M75" s="1930"/>
      <c r="N75" s="1930"/>
      <c r="O75" s="1930"/>
      <c r="P75" s="1930"/>
      <c r="Q75" s="1931"/>
      <c r="R75" s="111"/>
    </row>
    <row r="76" spans="1:20" ht="18">
      <c r="A76" s="1514"/>
      <c r="B76" s="1515" t="s">
        <v>113</v>
      </c>
      <c r="C76" s="1516"/>
      <c r="D76" s="1517"/>
      <c r="E76" s="1518"/>
      <c r="F76" s="174"/>
      <c r="G76" s="118"/>
      <c r="H76" s="112"/>
      <c r="I76" s="112"/>
      <c r="J76" s="112"/>
      <c r="K76" s="112"/>
      <c r="L76" s="112"/>
      <c r="M76" s="112"/>
      <c r="N76" s="112"/>
      <c r="O76" s="112"/>
      <c r="P76" s="112"/>
      <c r="Q76" s="119"/>
    </row>
    <row r="77" spans="1:20" ht="18">
      <c r="A77" s="1443">
        <v>149</v>
      </c>
      <c r="B77" s="1054"/>
      <c r="C77" s="1000" t="s">
        <v>538</v>
      </c>
      <c r="D77" s="1517"/>
      <c r="E77" s="1444" t="s">
        <v>1000</v>
      </c>
      <c r="F77" s="567" t="s">
        <v>425</v>
      </c>
      <c r="G77" s="1519">
        <v>0</v>
      </c>
      <c r="H77" s="1935" t="s">
        <v>114</v>
      </c>
      <c r="I77" s="1936"/>
      <c r="J77" s="1936"/>
      <c r="K77" s="1936"/>
      <c r="L77" s="1936"/>
      <c r="M77" s="1936"/>
      <c r="N77" s="1936"/>
      <c r="O77" s="1936"/>
      <c r="P77" s="1936"/>
      <c r="Q77" s="1937"/>
    </row>
    <row r="78" spans="1:20" ht="18">
      <c r="A78" s="1443"/>
      <c r="B78" s="1054"/>
      <c r="C78" s="1016"/>
      <c r="D78" s="1517"/>
      <c r="E78" s="1448"/>
      <c r="F78" s="1026"/>
      <c r="G78" s="118"/>
      <c r="H78" s="112"/>
      <c r="I78" s="112"/>
      <c r="J78" s="112"/>
      <c r="K78" s="112"/>
      <c r="L78" s="112"/>
      <c r="M78" s="112"/>
      <c r="N78" s="112"/>
      <c r="O78" s="1475"/>
      <c r="P78" s="112"/>
      <c r="Q78" s="119"/>
    </row>
    <row r="79" spans="1:20" ht="18">
      <c r="A79" s="1443"/>
      <c r="B79" s="1054"/>
      <c r="C79" s="1016" t="s">
        <v>115</v>
      </c>
      <c r="D79" s="1517"/>
      <c r="E79" s="1448"/>
      <c r="F79" s="1026"/>
      <c r="G79" s="1520" t="s">
        <v>116</v>
      </c>
      <c r="H79" s="1935" t="s">
        <v>95</v>
      </c>
      <c r="I79" s="1936"/>
      <c r="J79" s="1936"/>
      <c r="K79" s="1936"/>
      <c r="L79" s="1936"/>
      <c r="M79" s="1936"/>
      <c r="N79" s="1936"/>
      <c r="O79" s="1936"/>
      <c r="P79" s="1936"/>
      <c r="Q79" s="1937"/>
    </row>
    <row r="80" spans="1:20" ht="18">
      <c r="A80" s="1443"/>
      <c r="B80" s="1054">
        <v>1</v>
      </c>
      <c r="C80" s="1016" t="s">
        <v>117</v>
      </c>
      <c r="D80" s="1517"/>
      <c r="E80" s="1448"/>
      <c r="F80" s="1026"/>
      <c r="G80" s="1521"/>
      <c r="H80" s="1935"/>
      <c r="I80" s="1936"/>
      <c r="J80" s="1936"/>
      <c r="K80" s="1936"/>
      <c r="L80" s="1936"/>
      <c r="M80" s="1936"/>
      <c r="N80" s="1936"/>
      <c r="O80" s="1936"/>
      <c r="P80" s="1936"/>
      <c r="Q80" s="1937"/>
    </row>
    <row r="81" spans="1:40" ht="18">
      <c r="A81" s="1443"/>
      <c r="B81" s="1054"/>
      <c r="C81" s="1016" t="s">
        <v>118</v>
      </c>
      <c r="D81" s="1517"/>
      <c r="E81" s="1448"/>
      <c r="F81" s="1026"/>
      <c r="G81" s="1521"/>
      <c r="H81" s="1505"/>
      <c r="I81" s="1506"/>
      <c r="J81" s="1506"/>
      <c r="K81" s="1506"/>
      <c r="L81" s="1506"/>
      <c r="M81" s="1506"/>
      <c r="N81" s="1506"/>
      <c r="O81" s="1506"/>
      <c r="P81" s="1506"/>
      <c r="Q81" s="1522"/>
    </row>
    <row r="82" spans="1:40" ht="18">
      <c r="A82" s="1443"/>
      <c r="B82" s="1054">
        <v>2</v>
      </c>
      <c r="C82" s="1016" t="s">
        <v>119</v>
      </c>
      <c r="D82" s="1517"/>
      <c r="E82" s="1448"/>
      <c r="F82" s="1026"/>
      <c r="G82" s="1520" t="s">
        <v>120</v>
      </c>
      <c r="H82" s="1935"/>
      <c r="I82" s="1936"/>
      <c r="J82" s="1936"/>
      <c r="K82" s="1936"/>
      <c r="L82" s="1936"/>
      <c r="M82" s="1936"/>
      <c r="N82" s="1936"/>
      <c r="O82" s="1936"/>
      <c r="P82" s="1936"/>
      <c r="Q82" s="1937"/>
    </row>
    <row r="83" spans="1:40" ht="18">
      <c r="A83" s="1443"/>
      <c r="B83" s="1054"/>
      <c r="C83" s="1016" t="s">
        <v>121</v>
      </c>
      <c r="D83" s="1523" t="s">
        <v>122</v>
      </c>
      <c r="E83" s="1448"/>
      <c r="F83" s="1026"/>
      <c r="G83" s="1520" t="s">
        <v>116</v>
      </c>
      <c r="H83" s="1935"/>
      <c r="I83" s="1936"/>
      <c r="J83" s="1936"/>
      <c r="K83" s="1936"/>
      <c r="L83" s="1936"/>
      <c r="M83" s="1936"/>
      <c r="N83" s="1936"/>
      <c r="O83" s="1936"/>
      <c r="P83" s="1936"/>
      <c r="Q83" s="1937"/>
    </row>
    <row r="84" spans="1:40" ht="15.5">
      <c r="A84" s="1524"/>
      <c r="B84" s="1525" t="s">
        <v>9</v>
      </c>
      <c r="C84" s="1016" t="s">
        <v>123</v>
      </c>
      <c r="D84" s="1526">
        <v>1000000</v>
      </c>
      <c r="E84" s="1527"/>
      <c r="F84" s="1527"/>
      <c r="G84" s="1521"/>
      <c r="H84" s="1935"/>
      <c r="I84" s="1936"/>
      <c r="J84" s="1936"/>
      <c r="K84" s="1936"/>
      <c r="L84" s="1936"/>
      <c r="M84" s="1936"/>
      <c r="N84" s="1936"/>
      <c r="O84" s="1936"/>
      <c r="P84" s="1936"/>
      <c r="Q84" s="1937"/>
    </row>
    <row r="85" spans="1:40" ht="15.5">
      <c r="A85" s="1524"/>
      <c r="B85" s="1525" t="s">
        <v>10</v>
      </c>
      <c r="C85" s="1016" t="s">
        <v>124</v>
      </c>
      <c r="D85" s="1526">
        <v>500000</v>
      </c>
      <c r="E85" s="1527"/>
      <c r="F85" s="1527"/>
      <c r="G85" s="1521"/>
      <c r="H85" s="1935"/>
      <c r="I85" s="1936"/>
      <c r="J85" s="1936"/>
      <c r="K85" s="1936"/>
      <c r="L85" s="1936"/>
      <c r="M85" s="1936"/>
      <c r="N85" s="1936"/>
      <c r="O85" s="1936"/>
      <c r="P85" s="1936"/>
      <c r="Q85" s="1937"/>
    </row>
    <row r="86" spans="1:40" ht="15.5">
      <c r="A86" s="1524"/>
      <c r="B86" s="1525" t="s">
        <v>11</v>
      </c>
      <c r="C86" s="1016" t="s">
        <v>125</v>
      </c>
      <c r="D86" s="1526">
        <v>400000</v>
      </c>
      <c r="E86" s="1527"/>
      <c r="F86" s="1527"/>
      <c r="G86" s="1521"/>
      <c r="H86" s="1935"/>
      <c r="I86" s="1936"/>
      <c r="J86" s="1936"/>
      <c r="K86" s="1936"/>
      <c r="L86" s="1936"/>
      <c r="M86" s="1936"/>
      <c r="N86" s="1936"/>
      <c r="O86" s="1936"/>
      <c r="P86" s="1936"/>
      <c r="Q86" s="1937"/>
    </row>
    <row r="87" spans="1:40" ht="15.5">
      <c r="A87" s="1524"/>
      <c r="B87" s="1525" t="s">
        <v>14</v>
      </c>
      <c r="C87" s="1016" t="s">
        <v>126</v>
      </c>
      <c r="D87" s="1526">
        <v>444444.44444444444</v>
      </c>
      <c r="E87" s="1527"/>
      <c r="F87" s="1527"/>
      <c r="G87" s="1521"/>
      <c r="H87" s="1935"/>
      <c r="I87" s="1936"/>
      <c r="J87" s="1936"/>
      <c r="K87" s="1936"/>
      <c r="L87" s="1936"/>
      <c r="M87" s="1936"/>
      <c r="N87" s="1936"/>
      <c r="O87" s="1936"/>
      <c r="P87" s="1936"/>
      <c r="Q87" s="1937"/>
    </row>
    <row r="88" spans="1:40" ht="14.5" thickBot="1">
      <c r="A88" s="1477"/>
      <c r="B88" s="1478"/>
      <c r="C88" s="1478"/>
      <c r="D88" s="1478"/>
      <c r="E88" s="1478"/>
      <c r="F88" s="1478"/>
      <c r="G88" s="1528"/>
      <c r="H88" s="123"/>
      <c r="I88" s="123"/>
      <c r="J88" s="123"/>
      <c r="K88" s="1529" t="s">
        <v>127</v>
      </c>
      <c r="L88" s="123"/>
      <c r="M88" s="123"/>
      <c r="N88" s="123"/>
      <c r="O88" s="123"/>
      <c r="P88" s="123"/>
      <c r="Q88" s="1481"/>
    </row>
    <row r="89" spans="1:40">
      <c r="A89" s="1530"/>
      <c r="B89" s="1530"/>
      <c r="C89" s="1530"/>
      <c r="D89" s="1530"/>
      <c r="E89" s="1530"/>
      <c r="F89" s="1530"/>
      <c r="G89" s="112"/>
      <c r="H89" s="112"/>
      <c r="I89" s="112"/>
      <c r="J89" s="112"/>
      <c r="K89" s="1531"/>
      <c r="L89" s="112"/>
      <c r="M89" s="112"/>
      <c r="N89" s="112"/>
      <c r="O89" s="112"/>
      <c r="P89" s="112"/>
      <c r="Q89" s="112"/>
    </row>
    <row r="90" spans="1:40">
      <c r="A90" s="1530"/>
      <c r="B90" s="1530"/>
      <c r="C90" s="1530"/>
      <c r="D90" s="1530"/>
      <c r="E90" s="1530"/>
      <c r="F90" s="1530"/>
      <c r="G90" s="112"/>
      <c r="H90" s="112"/>
      <c r="I90" s="112"/>
      <c r="J90" s="112"/>
      <c r="K90" s="1531"/>
      <c r="L90" s="112"/>
      <c r="M90" s="112"/>
      <c r="N90" s="112"/>
      <c r="O90" s="112"/>
      <c r="P90" s="112"/>
      <c r="Q90" s="112"/>
    </row>
    <row r="91" spans="1:40" ht="15.5">
      <c r="A91" s="1054"/>
      <c r="B91" s="1054"/>
      <c r="C91" s="1054"/>
      <c r="D91" s="1054"/>
      <c r="E91" s="1444"/>
      <c r="F91" s="1054"/>
      <c r="G91" s="112"/>
      <c r="H91" s="112"/>
      <c r="I91" s="112"/>
      <c r="J91" s="112"/>
      <c r="K91" s="1531"/>
      <c r="L91" s="112"/>
      <c r="M91" s="112"/>
      <c r="N91" s="112"/>
      <c r="O91" s="112"/>
      <c r="P91" s="112"/>
      <c r="Q91" s="112"/>
    </row>
    <row r="92" spans="1:40" s="1532" customFormat="1" ht="20.5" thickBot="1">
      <c r="A92" s="947" t="s">
        <v>130</v>
      </c>
      <c r="G92" s="289"/>
      <c r="H92" s="289"/>
      <c r="I92" s="289"/>
      <c r="J92" s="289"/>
      <c r="K92" s="289"/>
      <c r="L92" s="289"/>
      <c r="M92" s="289"/>
      <c r="N92" s="289"/>
      <c r="O92" s="289"/>
      <c r="P92" s="289"/>
      <c r="Q92" s="289"/>
    </row>
    <row r="93" spans="1:40" s="1532" customFormat="1" ht="18" customHeight="1">
      <c r="A93" s="1902" t="s">
        <v>65</v>
      </c>
      <c r="B93" s="1903"/>
      <c r="C93" s="1903"/>
      <c r="D93" s="1903"/>
      <c r="E93" s="1903"/>
      <c r="F93" s="1921"/>
      <c r="G93" s="1533"/>
      <c r="H93" s="1534"/>
      <c r="I93" s="1535"/>
      <c r="J93" s="1535"/>
      <c r="K93" s="1535"/>
      <c r="L93" s="1535"/>
      <c r="M93" s="1535"/>
      <c r="N93" s="1535"/>
      <c r="O93" s="1535"/>
      <c r="P93" s="1535"/>
      <c r="Q93" s="1535"/>
      <c r="R93" s="1536"/>
      <c r="S93" s="1536"/>
      <c r="T93" s="1536"/>
      <c r="U93" s="1537"/>
      <c r="V93" s="1538" t="s">
        <v>131</v>
      </c>
      <c r="W93" s="1536"/>
      <c r="X93" s="1536"/>
      <c r="Y93" s="1536"/>
      <c r="Z93" s="1536"/>
      <c r="AA93" s="1536"/>
      <c r="AB93" s="1536"/>
      <c r="AC93" s="1536"/>
      <c r="AD93" s="1536"/>
      <c r="AE93" s="1536"/>
      <c r="AF93" s="1536"/>
      <c r="AG93" s="1536"/>
      <c r="AH93" s="1536"/>
      <c r="AI93" s="1536"/>
      <c r="AJ93" s="1536"/>
      <c r="AK93" s="1536"/>
      <c r="AL93" s="1536"/>
      <c r="AM93" s="1536"/>
      <c r="AN93" s="1537"/>
    </row>
    <row r="94" spans="1:40" s="1532" customFormat="1" ht="15.5">
      <c r="A94" s="1539">
        <v>45</v>
      </c>
      <c r="B94" s="1540" t="s">
        <v>130</v>
      </c>
      <c r="C94" s="402"/>
      <c r="D94" s="1540"/>
      <c r="E94" s="1541"/>
      <c r="F94" s="1542"/>
      <c r="G94" s="1461"/>
      <c r="H94" s="312"/>
      <c r="I94" s="289"/>
      <c r="J94" s="289"/>
      <c r="K94" s="289"/>
      <c r="L94" s="289"/>
      <c r="M94" s="289"/>
      <c r="N94" s="289"/>
      <c r="O94" s="289"/>
      <c r="P94" s="289"/>
      <c r="Q94" s="289"/>
      <c r="U94" s="1543"/>
      <c r="V94" s="1524"/>
      <c r="AN94" s="1543"/>
    </row>
    <row r="95" spans="1:40" s="1532" customFormat="1" ht="26.5">
      <c r="A95" s="1452"/>
      <c r="B95" s="410"/>
      <c r="D95" s="1540"/>
      <c r="F95" s="1544"/>
      <c r="G95" s="1545" t="s">
        <v>633</v>
      </c>
      <c r="H95" s="1546" t="s">
        <v>634</v>
      </c>
      <c r="I95" s="1546" t="s">
        <v>635</v>
      </c>
      <c r="J95" s="1546" t="s">
        <v>636</v>
      </c>
      <c r="K95" s="1546" t="s">
        <v>213</v>
      </c>
      <c r="L95" s="1546" t="s">
        <v>214</v>
      </c>
      <c r="M95" s="1546" t="s">
        <v>215</v>
      </c>
      <c r="N95" s="1546" t="s">
        <v>637</v>
      </c>
      <c r="O95" s="1546" t="s">
        <v>638</v>
      </c>
      <c r="P95" s="1546" t="s">
        <v>639</v>
      </c>
      <c r="Q95" s="1546" t="s">
        <v>640</v>
      </c>
      <c r="R95" s="1546" t="s">
        <v>641</v>
      </c>
      <c r="S95" s="1547" t="s">
        <v>1239</v>
      </c>
      <c r="T95" s="1547" t="s">
        <v>296</v>
      </c>
      <c r="U95" s="1547" t="s">
        <v>1215</v>
      </c>
      <c r="V95" s="1524"/>
      <c r="AN95" s="1543"/>
    </row>
    <row r="96" spans="1:40" s="1532" customFormat="1" ht="15.5">
      <c r="A96" s="1452"/>
      <c r="B96" s="1766"/>
      <c r="C96" s="1807" t="s">
        <v>1240</v>
      </c>
      <c r="D96" s="1548"/>
      <c r="F96" s="1549"/>
      <c r="G96" s="1550"/>
      <c r="H96" s="1551"/>
      <c r="I96" s="1552"/>
      <c r="J96" s="1552"/>
      <c r="K96" s="1552"/>
      <c r="L96" s="1552"/>
      <c r="M96" s="1552"/>
      <c r="N96" s="1552"/>
      <c r="O96" s="1552"/>
      <c r="P96" s="1552"/>
      <c r="Q96" s="1552"/>
      <c r="R96" s="1553"/>
      <c r="S96" s="1553"/>
      <c r="T96" s="1347">
        <f>+'ATT H-9A'!H24</f>
        <v>0.14248734844503233</v>
      </c>
      <c r="U96" s="948" t="s">
        <v>346</v>
      </c>
      <c r="V96" s="1524"/>
      <c r="AN96" s="1543"/>
    </row>
    <row r="97" spans="1:40" s="1532" customFormat="1" ht="15.5">
      <c r="A97" s="1452"/>
      <c r="B97" s="1766"/>
      <c r="C97" s="1807" t="s">
        <v>132</v>
      </c>
      <c r="D97" s="1554"/>
      <c r="F97" s="1555"/>
      <c r="G97" s="1556">
        <v>5648654.0999999996</v>
      </c>
      <c r="H97" s="1557">
        <v>3743752.09</v>
      </c>
      <c r="I97" s="1557">
        <v>1838850.0799999998</v>
      </c>
      <c r="J97" s="1557">
        <v>5650948.5199999996</v>
      </c>
      <c r="K97" s="1557">
        <v>3746046.51</v>
      </c>
      <c r="L97" s="1557">
        <v>1841144.4999999998</v>
      </c>
      <c r="M97" s="1557">
        <v>5658302.5199999996</v>
      </c>
      <c r="N97" s="1557">
        <v>3772201.6799999997</v>
      </c>
      <c r="O97" s="1557">
        <v>1886100.8399999999</v>
      </c>
      <c r="P97" s="1557">
        <v>5668920.4199999999</v>
      </c>
      <c r="Q97" s="1557">
        <v>3782819.58</v>
      </c>
      <c r="R97" s="1557">
        <v>1896718.7400000002</v>
      </c>
      <c r="S97" s="1557">
        <v>5677466.5500000007</v>
      </c>
      <c r="T97" s="1817">
        <v>0</v>
      </c>
      <c r="U97" s="948" t="s">
        <v>1500</v>
      </c>
      <c r="V97" s="1461" t="s">
        <v>133</v>
      </c>
      <c r="AN97" s="1543"/>
    </row>
    <row r="98" spans="1:40" s="1532" customFormat="1" ht="15.5">
      <c r="A98" s="1452"/>
      <c r="B98" s="1766"/>
      <c r="C98" s="1807" t="s">
        <v>135</v>
      </c>
      <c r="D98" s="1446"/>
      <c r="F98" s="1549"/>
      <c r="G98" s="1556">
        <v>14714982.790000001</v>
      </c>
      <c r="H98" s="1557">
        <v>42066041.119999997</v>
      </c>
      <c r="I98" s="1557">
        <v>36814849.18</v>
      </c>
      <c r="J98" s="1557">
        <v>15754901.359999998</v>
      </c>
      <c r="K98" s="1557">
        <v>10612716.35</v>
      </c>
      <c r="L98" s="1557">
        <v>5359573.8900000006</v>
      </c>
      <c r="M98" s="1557">
        <v>-0.16999999852851033</v>
      </c>
      <c r="N98" s="1557">
        <v>-5678013.379999999</v>
      </c>
      <c r="O98" s="1557">
        <v>-11357263.139999999</v>
      </c>
      <c r="P98" s="1557">
        <v>688823.85000000149</v>
      </c>
      <c r="Q98" s="1557">
        <v>606550.23000000138</v>
      </c>
      <c r="R98" s="1557">
        <v>4258728.3000000017</v>
      </c>
      <c r="S98" s="1557">
        <v>33653748.530000001</v>
      </c>
      <c r="T98" s="1817">
        <f>+'Prop taxes to function'!B36/'Prop taxes to function'!B25</f>
        <v>0.21710287944412751</v>
      </c>
      <c r="U98" s="948" t="s">
        <v>1241</v>
      </c>
      <c r="V98" s="1559" t="s">
        <v>1166</v>
      </c>
      <c r="AN98" s="1543"/>
    </row>
    <row r="99" spans="1:40" s="1532" customFormat="1" ht="15.5">
      <c r="A99" s="1452"/>
      <c r="B99" s="1766"/>
      <c r="C99" s="1807" t="s">
        <v>1389</v>
      </c>
      <c r="D99" s="1446"/>
      <c r="F99" s="1549"/>
      <c r="G99" s="1556">
        <v>-0.36</v>
      </c>
      <c r="H99" s="1557">
        <v>452174.97000000003</v>
      </c>
      <c r="I99" s="1557">
        <v>226087.30000000002</v>
      </c>
      <c r="J99" s="1557">
        <v>-0.36999999999534339</v>
      </c>
      <c r="K99" s="1557">
        <v>452174.96</v>
      </c>
      <c r="L99" s="1557">
        <v>226087.29</v>
      </c>
      <c r="M99" s="1557">
        <v>-0.38000000000465661</v>
      </c>
      <c r="N99" s="1557">
        <v>581820.12</v>
      </c>
      <c r="O99" s="1557">
        <v>290909.87</v>
      </c>
      <c r="P99" s="1557">
        <v>-0.38000000000465661</v>
      </c>
      <c r="Q99" s="1557">
        <v>581817.62</v>
      </c>
      <c r="R99" s="1557">
        <v>290908.62</v>
      </c>
      <c r="S99" s="1557">
        <v>-0.38000000000465661</v>
      </c>
      <c r="T99" s="1817">
        <f>+T96</f>
        <v>0.14248734844503233</v>
      </c>
      <c r="U99" s="948" t="s">
        <v>346</v>
      </c>
      <c r="V99" s="1560" t="s">
        <v>1426</v>
      </c>
      <c r="AN99" s="1543"/>
    </row>
    <row r="100" spans="1:40" s="1532" customFormat="1" ht="15.5">
      <c r="A100" s="1452"/>
      <c r="B100" s="1766"/>
      <c r="C100" s="1807" t="s">
        <v>1919</v>
      </c>
      <c r="D100" s="1446"/>
      <c r="F100" s="1549"/>
      <c r="G100" s="1556">
        <v>237273.58000000005</v>
      </c>
      <c r="H100" s="1557">
        <v>189799.30000000005</v>
      </c>
      <c r="I100" s="1557">
        <v>142325.02000000005</v>
      </c>
      <c r="J100" s="1557">
        <v>94850.740000000049</v>
      </c>
      <c r="K100" s="1557">
        <v>47376.46000000005</v>
      </c>
      <c r="L100" s="1557">
        <v>448899.95000000007</v>
      </c>
      <c r="M100" s="1557">
        <v>439309.59000000008</v>
      </c>
      <c r="N100" s="1557">
        <v>390742.8600000001</v>
      </c>
      <c r="O100" s="1557">
        <v>342176.13000000012</v>
      </c>
      <c r="P100" s="1557">
        <v>293609.40000000014</v>
      </c>
      <c r="Q100" s="1557">
        <v>332185.71000000014</v>
      </c>
      <c r="R100" s="1557">
        <v>290705.66000000015</v>
      </c>
      <c r="S100" s="1557">
        <v>242093.88000000015</v>
      </c>
      <c r="T100" s="1817">
        <f>+T96</f>
        <v>0.14248734844503233</v>
      </c>
      <c r="U100" s="948" t="s">
        <v>346</v>
      </c>
      <c r="V100" s="1560"/>
      <c r="AN100" s="1543"/>
    </row>
    <row r="101" spans="1:40" s="1532" customFormat="1" ht="15.5">
      <c r="A101" s="1452"/>
      <c r="B101" s="1766"/>
      <c r="C101" s="1807" t="s">
        <v>1390</v>
      </c>
      <c r="F101" s="1549"/>
      <c r="G101" s="1556">
        <v>142679.28</v>
      </c>
      <c r="H101" s="1557">
        <v>142679.28</v>
      </c>
      <c r="I101" s="1557">
        <v>142679.28</v>
      </c>
      <c r="J101" s="1557">
        <v>130285.25</v>
      </c>
      <c r="K101" s="1557">
        <v>130285.25</v>
      </c>
      <c r="L101" s="1557">
        <v>130285.25</v>
      </c>
      <c r="M101" s="1557">
        <v>154099.13</v>
      </c>
      <c r="N101" s="1557">
        <v>154099.13</v>
      </c>
      <c r="O101" s="1557">
        <v>154099.13</v>
      </c>
      <c r="P101" s="1557">
        <v>241331.37</v>
      </c>
      <c r="Q101" s="1557">
        <v>241331.37</v>
      </c>
      <c r="R101" s="1557">
        <v>241331.37</v>
      </c>
      <c r="S101" s="1557">
        <v>250371.22999999998</v>
      </c>
      <c r="T101" s="1817">
        <f>+T96</f>
        <v>0.14248734844503233</v>
      </c>
      <c r="U101" s="948" t="s">
        <v>346</v>
      </c>
      <c r="V101" s="1560"/>
      <c r="AN101" s="1543"/>
    </row>
    <row r="102" spans="1:40" s="1532" customFormat="1" ht="15.5">
      <c r="A102" s="1452"/>
      <c r="B102" s="1766"/>
      <c r="C102" s="1807" t="s">
        <v>1388</v>
      </c>
      <c r="F102" s="1549"/>
      <c r="G102" s="1556">
        <v>90694.849999999627</v>
      </c>
      <c r="H102" s="1557">
        <v>640326.18999999959</v>
      </c>
      <c r="I102" s="1557">
        <v>1093356.5299999996</v>
      </c>
      <c r="J102" s="1557">
        <v>1428305.9199999995</v>
      </c>
      <c r="K102" s="1557">
        <v>1003295.4899999994</v>
      </c>
      <c r="L102" s="1557">
        <v>932639.78999999946</v>
      </c>
      <c r="M102" s="1557">
        <v>343423.09999999939</v>
      </c>
      <c r="N102" s="1557">
        <v>285761.56999999942</v>
      </c>
      <c r="O102" s="1557">
        <v>228100.03999999943</v>
      </c>
      <c r="P102" s="1557">
        <v>409849.22999999928</v>
      </c>
      <c r="Q102" s="1557">
        <v>323912.08999999927</v>
      </c>
      <c r="R102" s="1557">
        <v>367617.9399999993</v>
      </c>
      <c r="S102" s="1557">
        <v>447771.23999999929</v>
      </c>
      <c r="T102" s="1817">
        <f>+T101</f>
        <v>0.14248734844503233</v>
      </c>
      <c r="U102" s="948" t="s">
        <v>346</v>
      </c>
      <c r="V102" s="1560" t="s">
        <v>1921</v>
      </c>
      <c r="AN102" s="1543"/>
    </row>
    <row r="103" spans="1:40" s="1532" customFormat="1" ht="15.5">
      <c r="A103" s="1452"/>
      <c r="B103" s="1766"/>
      <c r="C103" s="1807" t="s">
        <v>1955</v>
      </c>
      <c r="F103" s="1549"/>
      <c r="G103" s="1556">
        <v>373187.77</v>
      </c>
      <c r="H103" s="1557">
        <v>370889.57</v>
      </c>
      <c r="I103" s="1557">
        <v>362616.05</v>
      </c>
      <c r="J103" s="1557">
        <v>358938.93</v>
      </c>
      <c r="K103" s="1557">
        <v>344690.08999999997</v>
      </c>
      <c r="L103" s="1557">
        <v>340553.32999999996</v>
      </c>
      <c r="M103" s="1557">
        <v>340553.32999999996</v>
      </c>
      <c r="N103" s="1557">
        <v>326764.12999999995</v>
      </c>
      <c r="O103" s="1557">
        <v>317111.68999999994</v>
      </c>
      <c r="P103" s="1557">
        <v>408378.52999999991</v>
      </c>
      <c r="Q103" s="1557">
        <v>406999.60999999993</v>
      </c>
      <c r="R103" s="1557">
        <v>398726.08999999991</v>
      </c>
      <c r="S103" s="1557">
        <v>398726.08999999991</v>
      </c>
      <c r="T103" s="1817">
        <v>0</v>
      </c>
      <c r="U103" s="948" t="s">
        <v>1500</v>
      </c>
      <c r="V103" s="1561"/>
      <c r="AN103" s="1543"/>
    </row>
    <row r="104" spans="1:40" s="1532" customFormat="1" ht="15.5">
      <c r="A104" s="1452"/>
      <c r="B104" s="1766"/>
      <c r="C104" s="1807" t="s">
        <v>1920</v>
      </c>
      <c r="F104" s="1549"/>
      <c r="G104" s="1556"/>
      <c r="H104" s="1557"/>
      <c r="I104" s="1557"/>
      <c r="J104" s="1557"/>
      <c r="K104" s="1557"/>
      <c r="L104" s="1557"/>
      <c r="M104" s="1557"/>
      <c r="N104" s="1557"/>
      <c r="O104" s="1557"/>
      <c r="P104" s="1557"/>
      <c r="Q104" s="1557"/>
      <c r="R104" s="1557"/>
      <c r="S104" s="1557"/>
      <c r="T104" s="1817">
        <v>0</v>
      </c>
      <c r="U104" s="948" t="s">
        <v>1500</v>
      </c>
      <c r="V104" s="1561"/>
      <c r="AN104" s="1543"/>
    </row>
    <row r="105" spans="1:40" s="1532" customFormat="1" ht="15.5">
      <c r="A105" s="1452"/>
      <c r="B105" s="1766"/>
      <c r="C105" s="1807" t="s">
        <v>1557</v>
      </c>
      <c r="F105" s="1549"/>
      <c r="G105" s="1556">
        <v>1794519.6600000001</v>
      </c>
      <c r="H105" s="1557">
        <v>1794519.6600000001</v>
      </c>
      <c r="I105" s="1557">
        <v>1794519.6600000001</v>
      </c>
      <c r="J105" s="1557">
        <v>1334458.4800000002</v>
      </c>
      <c r="K105" s="1557">
        <v>1334458.4800000002</v>
      </c>
      <c r="L105" s="1557">
        <v>1334458.4800000002</v>
      </c>
      <c r="M105" s="1557">
        <v>734509.27000000014</v>
      </c>
      <c r="N105" s="1557">
        <v>605277.15000000014</v>
      </c>
      <c r="O105" s="1557">
        <v>605277.15000000014</v>
      </c>
      <c r="P105" s="1557">
        <v>2419798.1800000002</v>
      </c>
      <c r="Q105" s="1557">
        <v>2419798.1800000002</v>
      </c>
      <c r="R105" s="1557">
        <v>2419798.1800000002</v>
      </c>
      <c r="S105" s="1557">
        <v>1794519.6600000001</v>
      </c>
      <c r="T105" s="1817">
        <v>0</v>
      </c>
      <c r="U105" s="948" t="s">
        <v>1500</v>
      </c>
      <c r="V105" s="1561"/>
      <c r="AN105" s="1543"/>
    </row>
    <row r="106" spans="1:40" s="1532" customFormat="1" ht="15.5">
      <c r="A106" s="1452"/>
      <c r="B106" s="1766"/>
      <c r="C106" s="1807" t="s">
        <v>1483</v>
      </c>
      <c r="F106" s="1549"/>
      <c r="G106" s="1556">
        <v>17091.64</v>
      </c>
      <c r="H106" s="1315">
        <v>0</v>
      </c>
      <c r="I106" s="1315">
        <v>0</v>
      </c>
      <c r="J106" s="1315">
        <v>17453.89</v>
      </c>
      <c r="K106" s="1315">
        <v>0</v>
      </c>
      <c r="L106" s="1315">
        <v>0</v>
      </c>
      <c r="M106" s="1315">
        <v>17816.14</v>
      </c>
      <c r="N106" s="1315">
        <v>0</v>
      </c>
      <c r="O106" s="1315">
        <v>0</v>
      </c>
      <c r="P106" s="1315">
        <v>18178.39</v>
      </c>
      <c r="Q106" s="1315">
        <v>0</v>
      </c>
      <c r="R106" s="1315">
        <v>0</v>
      </c>
      <c r="S106" s="1315">
        <v>18540.64</v>
      </c>
      <c r="T106" s="1817">
        <v>0</v>
      </c>
      <c r="U106" s="948" t="s">
        <v>1500</v>
      </c>
      <c r="V106" s="1561"/>
      <c r="AN106" s="1543"/>
    </row>
    <row r="107" spans="1:40" s="1532" customFormat="1" ht="15.5">
      <c r="A107" s="1452"/>
      <c r="B107" s="1766"/>
      <c r="C107" s="1807" t="s">
        <v>1484</v>
      </c>
      <c r="F107" s="1549"/>
      <c r="G107" s="1556"/>
      <c r="H107" s="1315"/>
      <c r="I107" s="1315"/>
      <c r="J107" s="1315"/>
      <c r="K107" s="1315"/>
      <c r="L107" s="1315"/>
      <c r="M107" s="1315"/>
      <c r="N107" s="1315"/>
      <c r="O107" s="1315"/>
      <c r="P107" s="1315"/>
      <c r="Q107" s="1315"/>
      <c r="R107" s="1315"/>
      <c r="S107" s="1315"/>
      <c r="T107" s="1817">
        <f>T106</f>
        <v>0</v>
      </c>
      <c r="U107" s="948" t="s">
        <v>1500</v>
      </c>
      <c r="V107" s="1561"/>
      <c r="AN107" s="1543"/>
    </row>
    <row r="108" spans="1:40" s="1532" customFormat="1" ht="15.5">
      <c r="A108" s="1452"/>
      <c r="B108" s="1766"/>
      <c r="C108" s="1807" t="s">
        <v>2143</v>
      </c>
      <c r="F108" s="1549"/>
      <c r="G108" s="1556">
        <v>3888.89</v>
      </c>
      <c r="H108" s="1315">
        <v>0</v>
      </c>
      <c r="I108" s="1315">
        <v>0</v>
      </c>
      <c r="J108" s="1315">
        <v>0</v>
      </c>
      <c r="K108" s="1315">
        <v>0</v>
      </c>
      <c r="L108" s="1315">
        <v>0</v>
      </c>
      <c r="M108" s="1315">
        <v>0</v>
      </c>
      <c r="N108" s="1315">
        <v>0</v>
      </c>
      <c r="O108" s="1315">
        <v>0</v>
      </c>
      <c r="P108" s="1315">
        <v>0</v>
      </c>
      <c r="Q108" s="1315">
        <v>0</v>
      </c>
      <c r="R108" s="1315">
        <v>0</v>
      </c>
      <c r="S108" s="1315">
        <v>0</v>
      </c>
      <c r="T108" s="1817">
        <f>T96</f>
        <v>0.14248734844503233</v>
      </c>
      <c r="U108" s="948"/>
      <c r="V108" s="1561"/>
      <c r="AN108" s="1543"/>
    </row>
    <row r="109" spans="1:40" s="1532" customFormat="1" ht="15.5">
      <c r="A109" s="1452"/>
      <c r="B109" s="1766"/>
      <c r="C109" s="1807" t="s">
        <v>2142</v>
      </c>
      <c r="F109" s="1549"/>
      <c r="G109" s="1562">
        <v>-0.76</v>
      </c>
      <c r="H109" s="1563">
        <v>0</v>
      </c>
      <c r="I109" s="1563">
        <v>33956.020000000004</v>
      </c>
      <c r="J109" s="1563">
        <v>33956.020000000004</v>
      </c>
      <c r="K109" s="1563">
        <v>33956.020000000004</v>
      </c>
      <c r="L109" s="1563">
        <v>0</v>
      </c>
      <c r="M109" s="1563">
        <v>0</v>
      </c>
      <c r="N109" s="1563">
        <v>0</v>
      </c>
      <c r="O109" s="1563">
        <v>0</v>
      </c>
      <c r="P109" s="1563">
        <v>-33956.020000000004</v>
      </c>
      <c r="Q109" s="1563">
        <v>-33956.020000000004</v>
      </c>
      <c r="R109" s="1563">
        <v>-33956.020000000004</v>
      </c>
      <c r="S109" s="1563">
        <v>-33956.020000000004</v>
      </c>
      <c r="T109" s="1817">
        <f>T96</f>
        <v>0.14248734844503233</v>
      </c>
      <c r="U109" s="948"/>
      <c r="V109" s="1561"/>
      <c r="AN109" s="1543"/>
    </row>
    <row r="110" spans="1:40" s="1532" customFormat="1" ht="31.5" customHeight="1">
      <c r="A110" s="1452"/>
      <c r="B110" s="410"/>
      <c r="C110" s="289" t="s">
        <v>1242</v>
      </c>
      <c r="D110" s="1446"/>
      <c r="F110" s="1549" t="s">
        <v>1243</v>
      </c>
      <c r="G110" s="1564">
        <f t="shared" ref="G110:S110" si="0">SUM(G97:G109)</f>
        <v>23022971.440000001</v>
      </c>
      <c r="H110" s="1565">
        <f t="shared" si="0"/>
        <v>49400182.179999992</v>
      </c>
      <c r="I110" s="1565">
        <f t="shared" si="0"/>
        <v>42449239.119999997</v>
      </c>
      <c r="J110" s="1565">
        <f t="shared" si="0"/>
        <v>24804098.739999991</v>
      </c>
      <c r="K110" s="1565">
        <f t="shared" si="0"/>
        <v>17704999.609999999</v>
      </c>
      <c r="L110" s="1565">
        <f t="shared" si="0"/>
        <v>10613642.48</v>
      </c>
      <c r="M110" s="1565">
        <f t="shared" si="0"/>
        <v>7688012.5300000012</v>
      </c>
      <c r="N110" s="1565">
        <f t="shared" si="0"/>
        <v>438653.26000000047</v>
      </c>
      <c r="O110" s="1565">
        <f t="shared" si="0"/>
        <v>-7533488.2899999991</v>
      </c>
      <c r="P110" s="1565">
        <f t="shared" si="0"/>
        <v>10114932.970000003</v>
      </c>
      <c r="Q110" s="1565">
        <f t="shared" si="0"/>
        <v>8661458.370000001</v>
      </c>
      <c r="R110" s="1565">
        <f t="shared" si="0"/>
        <v>10130578.880000003</v>
      </c>
      <c r="S110" s="1565">
        <f t="shared" si="0"/>
        <v>42449281.419999994</v>
      </c>
      <c r="T110" s="1558"/>
      <c r="U110" s="948"/>
      <c r="V110" s="1958" t="s">
        <v>1244</v>
      </c>
      <c r="W110" s="1959"/>
      <c r="X110" s="1959"/>
      <c r="Y110" s="1959"/>
      <c r="Z110" s="1959"/>
      <c r="AA110" s="1959"/>
      <c r="AB110" s="1959"/>
      <c r="AC110" s="1959"/>
      <c r="AD110" s="1959"/>
      <c r="AE110" s="1959"/>
      <c r="AF110" s="1959"/>
      <c r="AG110" s="1959"/>
      <c r="AH110" s="1959"/>
      <c r="AI110" s="1959"/>
      <c r="AJ110" s="1959"/>
      <c r="AK110" s="1959"/>
      <c r="AL110" s="1959"/>
      <c r="AM110" s="1959"/>
      <c r="AN110" s="1960"/>
    </row>
    <row r="111" spans="1:40" s="1532" customFormat="1" ht="15.5">
      <c r="A111" s="1452"/>
      <c r="B111" s="410"/>
      <c r="C111" s="1808" t="s">
        <v>136</v>
      </c>
      <c r="D111" s="1446"/>
      <c r="F111" s="1549"/>
      <c r="G111" s="1556">
        <v>278770196.14000022</v>
      </c>
      <c r="H111" s="1566">
        <v>278371036.58000022</v>
      </c>
      <c r="I111" s="1566">
        <v>279325994.01000023</v>
      </c>
      <c r="J111" s="1566">
        <v>278602917.44000024</v>
      </c>
      <c r="K111" s="1566">
        <v>278049003.50000024</v>
      </c>
      <c r="L111" s="1566">
        <v>277389936.08000022</v>
      </c>
      <c r="M111" s="1566">
        <v>276724199.76000023</v>
      </c>
      <c r="N111" s="1566">
        <v>276051843.24000025</v>
      </c>
      <c r="O111" s="1566">
        <v>275392727.12000024</v>
      </c>
      <c r="P111" s="1566">
        <v>274721456.14000022</v>
      </c>
      <c r="Q111" s="1566">
        <v>274050185.16000021</v>
      </c>
      <c r="R111" s="1566">
        <v>273378480.64000022</v>
      </c>
      <c r="S111" s="1566">
        <v>272706776.12000024</v>
      </c>
      <c r="T111" s="1817">
        <f>+T96</f>
        <v>0.14248734844503233</v>
      </c>
      <c r="U111" s="948" t="s">
        <v>346</v>
      </c>
      <c r="V111" s="1559" t="s">
        <v>137</v>
      </c>
      <c r="AN111" s="1543"/>
    </row>
    <row r="112" spans="1:40" s="1532" customFormat="1" ht="16" thickBot="1">
      <c r="A112" s="1567"/>
      <c r="B112" s="1568"/>
      <c r="C112" s="122" t="s">
        <v>1245</v>
      </c>
      <c r="D112" s="1568"/>
      <c r="E112" s="1499"/>
      <c r="F112" s="1568"/>
      <c r="G112" s="1569">
        <f>SUMPRODUCT(G96:G109,$T96:$T109)+G111*$T$111</f>
        <v>42983506.510458291</v>
      </c>
      <c r="H112" s="1570">
        <f t="shared" ref="H112:S112" si="1">SUMPRODUCT(H96:H109,$T96:$T109)+H111*$T$111</f>
        <v>49000051.1248869</v>
      </c>
      <c r="I112" s="1570">
        <f t="shared" si="1"/>
        <v>48026481.864552028</v>
      </c>
      <c r="J112" s="1570">
        <f t="shared" si="1"/>
        <v>43358258.229787104</v>
      </c>
      <c r="K112" s="1570">
        <f t="shared" si="1"/>
        <v>42160055.499199569</v>
      </c>
      <c r="L112" s="1570">
        <f t="shared" si="1"/>
        <v>40935765.914096065</v>
      </c>
      <c r="M112" s="1570">
        <f t="shared" si="1"/>
        <v>39563184.06529393</v>
      </c>
      <c r="N112" s="1570">
        <f t="shared" si="1"/>
        <v>38302434.627355255</v>
      </c>
      <c r="O112" s="1570">
        <f t="shared" si="1"/>
        <v>36918950.229865387</v>
      </c>
      <c r="P112" s="1570">
        <f t="shared" si="1"/>
        <v>39423659.752150312</v>
      </c>
      <c r="Q112" s="1570">
        <f t="shared" si="1"/>
        <v>39386303.675328456</v>
      </c>
      <c r="R112" s="1570">
        <f t="shared" si="1"/>
        <v>40042358.950866178</v>
      </c>
      <c r="S112" s="1570">
        <f t="shared" si="1"/>
        <v>46292724.569307864</v>
      </c>
      <c r="T112" s="1479"/>
      <c r="U112" s="1571"/>
      <c r="V112" s="1572" t="s">
        <v>1246</v>
      </c>
      <c r="W112" s="1479"/>
      <c r="X112" s="1479"/>
      <c r="Y112" s="1479"/>
      <c r="Z112" s="1479"/>
      <c r="AA112" s="1479"/>
      <c r="AB112" s="1479"/>
      <c r="AC112" s="1479"/>
      <c r="AD112" s="1479"/>
      <c r="AE112" s="1479"/>
      <c r="AF112" s="1479"/>
      <c r="AG112" s="1479"/>
      <c r="AH112" s="1479"/>
      <c r="AI112" s="1479"/>
      <c r="AJ112" s="1479"/>
      <c r="AK112" s="1479"/>
      <c r="AL112" s="1479"/>
      <c r="AM112" s="1479"/>
      <c r="AN112" s="1571"/>
    </row>
    <row r="113" spans="1:34">
      <c r="A113" s="1530"/>
      <c r="B113" s="1530"/>
      <c r="C113" s="1530"/>
      <c r="D113" s="1530"/>
      <c r="E113" s="1530"/>
      <c r="F113" s="1530"/>
      <c r="G113" s="112"/>
      <c r="H113" s="112"/>
      <c r="I113" s="112"/>
      <c r="J113" s="112"/>
      <c r="K113" s="1531"/>
      <c r="L113" s="112"/>
      <c r="M113" s="112"/>
      <c r="N113" s="112"/>
      <c r="O113" s="112"/>
      <c r="P113" s="112"/>
      <c r="Q113" s="112"/>
    </row>
    <row r="114" spans="1:34">
      <c r="A114" s="1530"/>
      <c r="B114" s="1530"/>
      <c r="H114" s="112"/>
      <c r="I114" s="112"/>
      <c r="J114" s="112"/>
      <c r="K114" s="1531"/>
      <c r="L114" s="112"/>
      <c r="M114" s="112"/>
      <c r="N114" s="112"/>
      <c r="O114" s="112"/>
      <c r="P114" s="112"/>
      <c r="Q114" s="112"/>
    </row>
    <row r="115" spans="1:34">
      <c r="A115" s="1530"/>
      <c r="B115" s="1530"/>
      <c r="C115" s="1530"/>
      <c r="D115" s="1530"/>
      <c r="E115" s="1530"/>
      <c r="F115" s="1530"/>
      <c r="G115" s="112"/>
      <c r="H115" s="112"/>
      <c r="I115" s="112"/>
      <c r="J115" s="112"/>
      <c r="K115" s="1531"/>
      <c r="L115" s="112"/>
      <c r="M115" s="112"/>
      <c r="N115" s="112"/>
      <c r="O115" s="112"/>
      <c r="P115" s="112"/>
      <c r="Q115" s="112"/>
    </row>
    <row r="116" spans="1:34" s="1532" customFormat="1" ht="20.5" thickBot="1">
      <c r="A116" s="947" t="s">
        <v>1201</v>
      </c>
      <c r="G116" s="289"/>
      <c r="H116" s="289"/>
      <c r="I116" s="289"/>
      <c r="J116" s="289"/>
      <c r="K116" s="289"/>
      <c r="L116" s="289"/>
      <c r="M116" s="289"/>
      <c r="N116" s="289"/>
      <c r="O116" s="289"/>
      <c r="P116" s="289"/>
      <c r="Q116" s="289"/>
    </row>
    <row r="117" spans="1:34" s="1532" customFormat="1" ht="18">
      <c r="A117" s="1902" t="s">
        <v>1247</v>
      </c>
      <c r="B117" s="1903"/>
      <c r="C117" s="1903"/>
      <c r="D117" s="1903"/>
      <c r="E117" s="1903"/>
      <c r="F117" s="1921"/>
      <c r="G117" s="1461"/>
      <c r="H117" s="312"/>
      <c r="I117" s="289"/>
      <c r="J117" s="289"/>
      <c r="K117" s="289"/>
      <c r="L117" s="289"/>
      <c r="M117" s="289"/>
      <c r="N117" s="289"/>
      <c r="O117" s="289"/>
      <c r="P117" s="289"/>
      <c r="Q117" s="289"/>
      <c r="U117" s="1543"/>
      <c r="V117" s="1536"/>
      <c r="W117" s="1536"/>
      <c r="X117" s="1536"/>
      <c r="Y117" s="1573"/>
      <c r="Z117" s="1573"/>
      <c r="AA117" s="1573"/>
      <c r="AB117" s="1573"/>
      <c r="AC117" s="1573"/>
      <c r="AD117" s="1573"/>
      <c r="AE117" s="1573"/>
      <c r="AF117" s="1573"/>
      <c r="AG117" s="1573"/>
      <c r="AH117" s="1574"/>
    </row>
    <row r="118" spans="1:34" s="1532" customFormat="1" ht="18">
      <c r="A118" s="1539">
        <v>44</v>
      </c>
      <c r="B118" s="1540" t="s">
        <v>1201</v>
      </c>
      <c r="C118" s="950"/>
      <c r="D118" s="950"/>
      <c r="E118" s="950"/>
      <c r="F118" s="950"/>
      <c r="G118" s="1461"/>
      <c r="H118" s="312"/>
      <c r="I118" s="289"/>
      <c r="J118" s="289"/>
      <c r="K118" s="289"/>
      <c r="L118" s="289"/>
      <c r="M118" s="289"/>
      <c r="N118" s="289"/>
      <c r="O118" s="289"/>
      <c r="P118" s="289"/>
      <c r="Q118" s="289"/>
      <c r="U118" s="1543"/>
      <c r="Y118" s="289"/>
      <c r="Z118" s="289"/>
      <c r="AA118" s="289"/>
      <c r="AB118" s="289"/>
      <c r="AC118" s="289"/>
      <c r="AD118" s="289"/>
      <c r="AE118" s="289"/>
      <c r="AF118" s="289"/>
      <c r="AG118" s="289"/>
      <c r="AH118" s="120"/>
    </row>
    <row r="119" spans="1:34" s="1532" customFormat="1" ht="75" customHeight="1">
      <c r="A119" s="1524"/>
      <c r="C119" s="1938" t="s">
        <v>1248</v>
      </c>
      <c r="D119" s="1938"/>
      <c r="E119" s="1938"/>
      <c r="F119" s="1939"/>
      <c r="G119" s="1575" t="s">
        <v>633</v>
      </c>
      <c r="H119" s="1576" t="s">
        <v>634</v>
      </c>
      <c r="I119" s="1576" t="s">
        <v>635</v>
      </c>
      <c r="J119" s="1576" t="s">
        <v>636</v>
      </c>
      <c r="K119" s="1576" t="s">
        <v>213</v>
      </c>
      <c r="L119" s="1576" t="s">
        <v>214</v>
      </c>
      <c r="M119" s="1576" t="s">
        <v>215</v>
      </c>
      <c r="N119" s="1576" t="s">
        <v>637</v>
      </c>
      <c r="O119" s="1576" t="s">
        <v>638</v>
      </c>
      <c r="P119" s="1576" t="s">
        <v>639</v>
      </c>
      <c r="Q119" s="1576" t="s">
        <v>640</v>
      </c>
      <c r="R119" s="1576" t="s">
        <v>641</v>
      </c>
      <c r="S119" s="1577" t="s">
        <v>1239</v>
      </c>
      <c r="T119" s="1578" t="s">
        <v>1249</v>
      </c>
      <c r="U119" s="1543"/>
      <c r="V119" s="1579" t="s">
        <v>887</v>
      </c>
      <c r="W119" s="1580" t="s">
        <v>1112</v>
      </c>
      <c r="X119" s="1580" t="s">
        <v>1250</v>
      </c>
      <c r="Y119" s="1581" t="s">
        <v>888</v>
      </c>
      <c r="Z119" s="1580" t="s">
        <v>1113</v>
      </c>
      <c r="AA119" s="1580" t="s">
        <v>1250</v>
      </c>
      <c r="AB119" s="1582" t="s">
        <v>1251</v>
      </c>
      <c r="AC119" s="1580" t="s">
        <v>889</v>
      </c>
      <c r="AD119" s="1583"/>
      <c r="AE119" s="1583"/>
      <c r="AF119" s="1584"/>
      <c r="AG119" s="1584"/>
      <c r="AH119" s="1585"/>
    </row>
    <row r="120" spans="1:34" s="1532" customFormat="1">
      <c r="A120" s="1527"/>
      <c r="B120" s="1527"/>
      <c r="C120" s="1809" t="s">
        <v>1252</v>
      </c>
      <c r="F120" s="884"/>
      <c r="G120" s="1587">
        <v>-1736216.84</v>
      </c>
      <c r="H120" s="1587">
        <v>-1633739.0099999991</v>
      </c>
      <c r="I120" s="1587">
        <v>-1636216.8399999992</v>
      </c>
      <c r="J120" s="1587">
        <v>-2795966.2299999991</v>
      </c>
      <c r="K120" s="1587">
        <v>-2795966.2299999991</v>
      </c>
      <c r="L120" s="1587">
        <v>-3237966.2299999991</v>
      </c>
      <c r="M120" s="1587">
        <v>-3189086.919999999</v>
      </c>
      <c r="N120" s="1587">
        <v>-3589086.9199999995</v>
      </c>
      <c r="O120" s="1587">
        <v>-3759795.1499999994</v>
      </c>
      <c r="P120" s="1587">
        <v>-3762526.6599999992</v>
      </c>
      <c r="Q120" s="1587">
        <v>-3772526.6599999992</v>
      </c>
      <c r="R120" s="1587">
        <v>-4232276.6599999992</v>
      </c>
      <c r="S120" s="1587">
        <v>-4408335.58</v>
      </c>
      <c r="T120" s="1588">
        <f>SUM(G120:S120)/13</f>
        <v>-3119208.1484615374</v>
      </c>
      <c r="U120" s="1589"/>
      <c r="V120" s="1590">
        <f>+T120</f>
        <v>-3119208.1484615374</v>
      </c>
      <c r="W120" s="1591">
        <f>+'ATT H-9A'!$H$45</f>
        <v>0.17754725405156993</v>
      </c>
      <c r="X120" s="982">
        <f>+V120*W120</f>
        <v>-553806.84157462767</v>
      </c>
      <c r="Y120" s="1590"/>
      <c r="Z120" s="1591">
        <f>+'ATT H-9A'!$H$24</f>
        <v>0.14248734844503233</v>
      </c>
      <c r="AA120" s="1592">
        <f t="shared" ref="AA120:AA135" si="2">+Z120*Y120</f>
        <v>0</v>
      </c>
      <c r="AC120" s="1592">
        <f>X120+AA120+AB120</f>
        <v>-553806.84157462767</v>
      </c>
      <c r="AF120" s="289"/>
      <c r="AG120" s="289"/>
      <c r="AH120" s="120"/>
    </row>
    <row r="121" spans="1:34" s="1532" customFormat="1">
      <c r="A121" s="1527"/>
      <c r="B121" s="1527"/>
      <c r="C121" s="1809" t="s">
        <v>1253</v>
      </c>
      <c r="F121" s="884"/>
      <c r="G121" s="1587">
        <v>-238732</v>
      </c>
      <c r="H121" s="1587">
        <v>-241209.83</v>
      </c>
      <c r="I121" s="1587">
        <v>-238732</v>
      </c>
      <c r="J121" s="1587">
        <v>-239482</v>
      </c>
      <c r="K121" s="1587">
        <v>-239482</v>
      </c>
      <c r="L121" s="1587">
        <v>-251482</v>
      </c>
      <c r="M121" s="1587">
        <v>-238732</v>
      </c>
      <c r="N121" s="1587">
        <v>-238732</v>
      </c>
      <c r="O121" s="1587">
        <v>-247604.18</v>
      </c>
      <c r="P121" s="1587">
        <v>-247604.18</v>
      </c>
      <c r="Q121" s="1587">
        <v>-247604.18</v>
      </c>
      <c r="R121" s="1587">
        <v>-247854.18</v>
      </c>
      <c r="S121" s="1587">
        <v>-247604.18</v>
      </c>
      <c r="T121" s="1593">
        <f>SUM(G121:S121)/13</f>
        <v>-243450.36384615392</v>
      </c>
      <c r="U121" s="1589"/>
      <c r="V121" s="1590"/>
      <c r="W121" s="1591">
        <f>+'ATT H-9A'!$H$45</f>
        <v>0.17754725405156993</v>
      </c>
      <c r="X121" s="982">
        <f>+V121*W121</f>
        <v>0</v>
      </c>
      <c r="Y121" s="1590">
        <f>+T121</f>
        <v>-243450.36384615392</v>
      </c>
      <c r="Z121" s="1591">
        <f>+'ATT H-9A'!$H$24</f>
        <v>0.14248734844503233</v>
      </c>
      <c r="AA121" s="1592">
        <f t="shared" si="2"/>
        <v>-34688.596822416832</v>
      </c>
      <c r="AC121" s="1592">
        <f t="shared" ref="AC121:AC135" si="3">X121+AA121+AB121</f>
        <v>-34688.596822416832</v>
      </c>
      <c r="AF121" s="289"/>
      <c r="AG121" s="289"/>
      <c r="AH121" s="120"/>
    </row>
    <row r="122" spans="1:34" s="1532" customFormat="1">
      <c r="A122" s="1527"/>
      <c r="B122" s="1527"/>
      <c r="C122" s="1809" t="s">
        <v>1254</v>
      </c>
      <c r="F122" s="884"/>
      <c r="G122" s="1587">
        <v>711512.19999999984</v>
      </c>
      <c r="H122" s="1587">
        <v>686604.32</v>
      </c>
      <c r="I122" s="1587">
        <v>528183.93999999994</v>
      </c>
      <c r="J122" s="1587">
        <v>513812.00999999995</v>
      </c>
      <c r="K122" s="1587">
        <v>512784.39999999997</v>
      </c>
      <c r="L122" s="1587">
        <v>511487.20999999996</v>
      </c>
      <c r="M122" s="1587">
        <v>521879.77999999997</v>
      </c>
      <c r="N122" s="1587">
        <v>521146.93</v>
      </c>
      <c r="O122" s="1587">
        <v>800725.83000000007</v>
      </c>
      <c r="P122" s="1587">
        <v>798670.60000000009</v>
      </c>
      <c r="Q122" s="1587">
        <v>796615.3600000001</v>
      </c>
      <c r="R122" s="1587">
        <v>794560.13000000012</v>
      </c>
      <c r="S122" s="1587">
        <v>791403.88000000012</v>
      </c>
      <c r="T122" s="1593">
        <f t="shared" ref="T122:T140" si="4">SUM(G122:S122)/13</f>
        <v>653029.73769230768</v>
      </c>
      <c r="U122" s="1589"/>
      <c r="V122" s="1590"/>
      <c r="W122" s="1591">
        <f>+'ATT H-9A'!$H$45</f>
        <v>0.17754725405156993</v>
      </c>
      <c r="X122" s="982">
        <f t="shared" ref="X122:X135" si="5">+V122*W122</f>
        <v>0</v>
      </c>
      <c r="Y122" s="1590">
        <f t="shared" ref="Y122:Y135" si="6">+T122</f>
        <v>653029.73769230768</v>
      </c>
      <c r="Z122" s="1591">
        <f>+'ATT H-9A'!$H$24</f>
        <v>0.14248734844503233</v>
      </c>
      <c r="AA122" s="1592">
        <f t="shared" si="2"/>
        <v>93048.475779531902</v>
      </c>
      <c r="AC122" s="1592">
        <f t="shared" si="3"/>
        <v>93048.475779531902</v>
      </c>
      <c r="AF122" s="289"/>
      <c r="AG122" s="289"/>
      <c r="AH122" s="120"/>
    </row>
    <row r="123" spans="1:34" s="1532" customFormat="1">
      <c r="A123" s="1527"/>
      <c r="B123" s="1527"/>
      <c r="C123" s="1809" t="s">
        <v>1255</v>
      </c>
      <c r="F123" s="884"/>
      <c r="G123" s="1587">
        <v>3538511.36</v>
      </c>
      <c r="H123" s="1587">
        <v>3744940.86</v>
      </c>
      <c r="I123" s="1587">
        <v>3216947.29</v>
      </c>
      <c r="J123" s="1587">
        <v>3169047.6</v>
      </c>
      <c r="K123" s="1587">
        <v>3165622.69</v>
      </c>
      <c r="L123" s="1587">
        <v>3161299.36</v>
      </c>
      <c r="M123" s="1587">
        <v>3195936.37</v>
      </c>
      <c r="N123" s="1587">
        <v>3193493.8600000003</v>
      </c>
      <c r="O123" s="1587">
        <v>3118276.3400000003</v>
      </c>
      <c r="P123" s="1587">
        <v>3111426.5300000003</v>
      </c>
      <c r="Q123" s="1587">
        <v>3104576.7300000004</v>
      </c>
      <c r="R123" s="1587">
        <v>3097726.9200000004</v>
      </c>
      <c r="S123" s="1587">
        <v>3087207.5700000003</v>
      </c>
      <c r="T123" s="1593">
        <f t="shared" si="4"/>
        <v>3223462.5753846159</v>
      </c>
      <c r="U123" s="1589"/>
      <c r="V123" s="1590"/>
      <c r="W123" s="1591">
        <f>+'ATT H-9A'!$H$45</f>
        <v>0.17754725405156993</v>
      </c>
      <c r="X123" s="982">
        <f t="shared" si="5"/>
        <v>0</v>
      </c>
      <c r="Y123" s="1590">
        <f t="shared" si="6"/>
        <v>3223462.5753846159</v>
      </c>
      <c r="Z123" s="1591">
        <f>+'ATT H-9A'!$H$24</f>
        <v>0.14248734844503233</v>
      </c>
      <c r="AA123" s="1592">
        <f t="shared" si="2"/>
        <v>459302.63517834904</v>
      </c>
      <c r="AC123" s="1592">
        <f t="shared" si="3"/>
        <v>459302.63517834904</v>
      </c>
      <c r="AF123" s="289"/>
      <c r="AG123" s="289"/>
      <c r="AH123" s="120"/>
    </row>
    <row r="124" spans="1:34" s="1532" customFormat="1">
      <c r="A124" s="1527"/>
      <c r="B124" s="1527"/>
      <c r="C124" s="1809" t="s">
        <v>1269</v>
      </c>
      <c r="F124" s="884"/>
      <c r="G124" s="1587">
        <v>-31514993.549999993</v>
      </c>
      <c r="H124" s="1587">
        <v>-31495584.690000013</v>
      </c>
      <c r="I124" s="1587">
        <v>-30860459.940000013</v>
      </c>
      <c r="J124" s="1587">
        <v>-30703072.750000011</v>
      </c>
      <c r="K124" s="1587">
        <v>-30784799.04000001</v>
      </c>
      <c r="L124" s="1587">
        <v>-30556957.500000011</v>
      </c>
      <c r="M124" s="1587">
        <v>-30530816.04000001</v>
      </c>
      <c r="N124" s="1587">
        <v>-30732987.000000011</v>
      </c>
      <c r="O124" s="1587">
        <v>-23169752.770000011</v>
      </c>
      <c r="P124" s="1587">
        <v>-23079426.88000001</v>
      </c>
      <c r="Q124" s="1587">
        <v>-22963899.090000011</v>
      </c>
      <c r="R124" s="1587">
        <v>-22764514.030000012</v>
      </c>
      <c r="S124" s="1587">
        <v>-22920999.720000014</v>
      </c>
      <c r="T124" s="1593">
        <f t="shared" si="4"/>
        <v>-27852174.076923091</v>
      </c>
      <c r="U124" s="1589"/>
      <c r="V124" s="1590"/>
      <c r="W124" s="1591">
        <f>+'ATT H-9A'!$H$45</f>
        <v>0.17754725405156993</v>
      </c>
      <c r="X124" s="982"/>
      <c r="Y124" s="1590">
        <f t="shared" si="6"/>
        <v>-27852174.076923091</v>
      </c>
      <c r="Z124" s="1591">
        <f>+'ATT H-9A'!$H$24</f>
        <v>0.14248734844503233</v>
      </c>
      <c r="AA124" s="1592">
        <f t="shared" si="2"/>
        <v>-3968582.4326502373</v>
      </c>
      <c r="AC124" s="1592">
        <f t="shared" si="3"/>
        <v>-3968582.4326502373</v>
      </c>
      <c r="AF124" s="289"/>
      <c r="AG124" s="289"/>
      <c r="AH124" s="120"/>
    </row>
    <row r="125" spans="1:34" s="1532" customFormat="1">
      <c r="A125" s="1527"/>
      <c r="B125" s="1527"/>
      <c r="C125" s="1809" t="s">
        <v>1270</v>
      </c>
      <c r="F125" s="884"/>
      <c r="G125" s="1587">
        <v>-2532756.14</v>
      </c>
      <c r="H125" s="1587">
        <v>-2426986.1300000008</v>
      </c>
      <c r="I125" s="1587">
        <v>-2236421.8800000008</v>
      </c>
      <c r="J125" s="1587">
        <v>-2189199.0700000008</v>
      </c>
      <c r="K125" s="1587">
        <v>-2213879.7400000007</v>
      </c>
      <c r="L125" s="1587">
        <v>-2145358.3200000008</v>
      </c>
      <c r="M125" s="1587">
        <v>-2137514.7800000007</v>
      </c>
      <c r="N125" s="1587">
        <v>-2166419.4500000007</v>
      </c>
      <c r="O125" s="1587">
        <v>-2452523.0500000007</v>
      </c>
      <c r="P125" s="1587">
        <v>-2430678.3700000006</v>
      </c>
      <c r="Q125" s="1587">
        <v>-2396015.1600000006</v>
      </c>
      <c r="R125" s="1587">
        <v>-2336191.2200000007</v>
      </c>
      <c r="S125" s="1587">
        <v>-2383143.5300000007</v>
      </c>
      <c r="T125" s="1593">
        <f t="shared" si="4"/>
        <v>-2311314.3723076931</v>
      </c>
      <c r="U125" s="1589"/>
      <c r="V125" s="1590"/>
      <c r="W125" s="1591">
        <f>+'ATT H-9A'!$H$45</f>
        <v>0.17754725405156993</v>
      </c>
      <c r="X125" s="982"/>
      <c r="Y125" s="1590">
        <f t="shared" si="6"/>
        <v>-2311314.3723076931</v>
      </c>
      <c r="Z125" s="1591">
        <f>+'ATT H-9A'!$H$24</f>
        <v>0.14248734844503233</v>
      </c>
      <c r="AA125" s="1592">
        <f t="shared" si="2"/>
        <v>-329333.05633301748</v>
      </c>
      <c r="AC125" s="1592">
        <f t="shared" si="3"/>
        <v>-329333.05633301748</v>
      </c>
      <c r="AF125" s="289"/>
      <c r="AG125" s="289"/>
      <c r="AH125" s="120"/>
    </row>
    <row r="126" spans="1:34" s="1532" customFormat="1">
      <c r="A126" s="1527"/>
      <c r="B126" s="1527"/>
      <c r="C126" s="1809" t="s">
        <v>1256</v>
      </c>
      <c r="F126" s="884"/>
      <c r="G126" s="1587">
        <v>-1686241.0000000007</v>
      </c>
      <c r="H126" s="1587">
        <v>-1686241</v>
      </c>
      <c r="I126" s="1587">
        <v>-1686241</v>
      </c>
      <c r="J126" s="1587">
        <v>-1686241</v>
      </c>
      <c r="K126" s="1587">
        <v>-1686241</v>
      </c>
      <c r="L126" s="1587">
        <v>-1686241</v>
      </c>
      <c r="M126" s="1587">
        <v>-1686241</v>
      </c>
      <c r="N126" s="1587">
        <v>-1686241</v>
      </c>
      <c r="O126" s="1587">
        <v>-1324718</v>
      </c>
      <c r="P126" s="1587">
        <v>-1457366</v>
      </c>
      <c r="Q126" s="1587">
        <v>-1457366</v>
      </c>
      <c r="R126" s="1587">
        <v>-1457366</v>
      </c>
      <c r="S126" s="1587">
        <v>-1457366</v>
      </c>
      <c r="T126" s="1593">
        <f t="shared" si="4"/>
        <v>-1588008.4615384615</v>
      </c>
      <c r="U126" s="1589"/>
      <c r="V126" s="1590"/>
      <c r="W126" s="1591">
        <f>+'ATT H-9A'!$H$45</f>
        <v>0.17754725405156993</v>
      </c>
      <c r="X126" s="982">
        <f t="shared" si="5"/>
        <v>0</v>
      </c>
      <c r="Y126" s="1590">
        <f t="shared" si="6"/>
        <v>-1588008.4615384615</v>
      </c>
      <c r="Z126" s="1591">
        <f>+'ATT H-9A'!$H$24</f>
        <v>0.14248734844503233</v>
      </c>
      <c r="AA126" s="1592">
        <f t="shared" si="2"/>
        <v>-226271.11499289048</v>
      </c>
      <c r="AC126" s="1592">
        <f t="shared" si="3"/>
        <v>-226271.11499289048</v>
      </c>
      <c r="AF126" s="289"/>
      <c r="AG126" s="289"/>
      <c r="AH126" s="120"/>
    </row>
    <row r="127" spans="1:34" s="1532" customFormat="1">
      <c r="A127" s="1527"/>
      <c r="B127" s="1527"/>
      <c r="C127" s="1809" t="s">
        <v>1257</v>
      </c>
      <c r="F127" s="884"/>
      <c r="G127" s="1587">
        <v>-1014132.3800000004</v>
      </c>
      <c r="H127" s="1587">
        <v>-1037478.62</v>
      </c>
      <c r="I127" s="1587">
        <v>-1063896.31</v>
      </c>
      <c r="J127" s="1587">
        <v>-1072915.08</v>
      </c>
      <c r="K127" s="1587">
        <v>-1016318.1500000001</v>
      </c>
      <c r="L127" s="1587">
        <v>-1001046.2700000001</v>
      </c>
      <c r="M127" s="1587">
        <v>-1000905.7600000001</v>
      </c>
      <c r="N127" s="1587">
        <v>-971721.62000000011</v>
      </c>
      <c r="O127" s="1587">
        <v>-934269.39000000013</v>
      </c>
      <c r="P127" s="1587">
        <v>-911193.58000000007</v>
      </c>
      <c r="Q127" s="1587">
        <v>-907674.73</v>
      </c>
      <c r="R127" s="1587">
        <v>-890866.2</v>
      </c>
      <c r="S127" s="1587">
        <v>-763461.34</v>
      </c>
      <c r="T127" s="1593">
        <f t="shared" si="4"/>
        <v>-968144.57153846161</v>
      </c>
      <c r="U127" s="1589"/>
      <c r="V127" s="1590"/>
      <c r="W127" s="1591">
        <f>+'ATT H-9A'!$H$45</f>
        <v>0.17754725405156993</v>
      </c>
      <c r="X127" s="982">
        <f t="shared" si="5"/>
        <v>0</v>
      </c>
      <c r="Y127" s="1590">
        <f t="shared" si="6"/>
        <v>-968144.57153846161</v>
      </c>
      <c r="Z127" s="1591">
        <f>+'ATT H-9A'!$H$24</f>
        <v>0.14248734844503233</v>
      </c>
      <c r="AA127" s="1592">
        <f t="shared" si="2"/>
        <v>-137948.3529099673</v>
      </c>
      <c r="AC127" s="1592">
        <f t="shared" si="3"/>
        <v>-137948.3529099673</v>
      </c>
      <c r="AF127" s="289"/>
      <c r="AG127" s="289"/>
      <c r="AH127" s="120"/>
    </row>
    <row r="128" spans="1:34" s="1532" customFormat="1">
      <c r="A128" s="1527"/>
      <c r="B128" s="1527"/>
      <c r="C128" s="1809" t="s">
        <v>1258</v>
      </c>
      <c r="F128" s="884"/>
      <c r="G128" s="1587">
        <v>-12706814.200000003</v>
      </c>
      <c r="H128" s="1587">
        <v>-13548201.699999988</v>
      </c>
      <c r="I128" s="1587">
        <v>-1697669.2999999877</v>
      </c>
      <c r="J128" s="1587">
        <v>-2710271.3499999875</v>
      </c>
      <c r="K128" s="1587">
        <v>-3671869.5799999875</v>
      </c>
      <c r="L128" s="1587">
        <v>-4608771.7099999879</v>
      </c>
      <c r="M128" s="1587">
        <v>-6133943.659999988</v>
      </c>
      <c r="N128" s="1587">
        <v>-6810666.7999999877</v>
      </c>
      <c r="O128" s="1587">
        <v>-8049569.5399999879</v>
      </c>
      <c r="P128" s="1587">
        <v>-8847571.079999987</v>
      </c>
      <c r="Q128" s="1587">
        <v>-8735478.4499999862</v>
      </c>
      <c r="R128" s="1587">
        <v>-9546395.0299999863</v>
      </c>
      <c r="S128" s="1587">
        <v>-11686673.969999988</v>
      </c>
      <c r="T128" s="1593">
        <f t="shared" si="4"/>
        <v>-7596453.566923066</v>
      </c>
      <c r="U128" s="1589"/>
      <c r="V128" s="1590"/>
      <c r="W128" s="1591">
        <f>+'ATT H-9A'!$H$45</f>
        <v>0.17754725405156993</v>
      </c>
      <c r="X128" s="982">
        <f t="shared" si="5"/>
        <v>0</v>
      </c>
      <c r="Y128" s="1590">
        <f t="shared" si="6"/>
        <v>-7596453.566923066</v>
      </c>
      <c r="Z128" s="1591">
        <f>+'ATT H-9A'!$H$24</f>
        <v>0.14248734844503233</v>
      </c>
      <c r="AA128" s="1592">
        <f t="shared" si="2"/>
        <v>-1082398.5263366757</v>
      </c>
      <c r="AC128" s="1592">
        <f t="shared" si="3"/>
        <v>-1082398.5263366757</v>
      </c>
      <c r="AF128" s="289"/>
      <c r="AG128" s="289"/>
      <c r="AH128" s="120"/>
    </row>
    <row r="129" spans="1:34" s="1532" customFormat="1">
      <c r="A129" s="1527"/>
      <c r="B129" s="1527"/>
      <c r="C129" s="1809" t="s">
        <v>1259</v>
      </c>
      <c r="F129" s="884"/>
      <c r="G129" s="1587">
        <v>-7138006.1299999999</v>
      </c>
      <c r="H129" s="1587">
        <v>-7241094.9799999995</v>
      </c>
      <c r="I129" s="1587">
        <v>-7202614.5099999998</v>
      </c>
      <c r="J129" s="1587">
        <v>-6601061.1899999995</v>
      </c>
      <c r="K129" s="1587">
        <v>-6121751.0199999996</v>
      </c>
      <c r="L129" s="1587">
        <v>-6245166.8199999994</v>
      </c>
      <c r="M129" s="1587">
        <v>-6672614.2899999991</v>
      </c>
      <c r="N129" s="1587">
        <v>-6682148.5599999987</v>
      </c>
      <c r="O129" s="1587">
        <v>-6970504.2899999991</v>
      </c>
      <c r="P129" s="1587">
        <v>-6408577.3399999989</v>
      </c>
      <c r="Q129" s="1587">
        <v>-6270777.6199999992</v>
      </c>
      <c r="R129" s="1587">
        <v>-6386188.7799999993</v>
      </c>
      <c r="S129" s="1587">
        <v>-6207795.6999999993</v>
      </c>
      <c r="T129" s="1593">
        <f t="shared" si="4"/>
        <v>-6626792.4023076929</v>
      </c>
      <c r="U129" s="1589"/>
      <c r="V129" s="1590"/>
      <c r="W129" s="1591">
        <f>+'ATT H-9A'!$H$45</f>
        <v>0.17754725405156993</v>
      </c>
      <c r="X129" s="982">
        <f t="shared" si="5"/>
        <v>0</v>
      </c>
      <c r="Y129" s="1590">
        <f t="shared" si="6"/>
        <v>-6626792.4023076929</v>
      </c>
      <c r="Z129" s="1591">
        <f>+'ATT H-9A'!$H$24</f>
        <v>0.14248734844503233</v>
      </c>
      <c r="AA129" s="1592">
        <f t="shared" si="2"/>
        <v>-944234.07810050913</v>
      </c>
      <c r="AC129" s="1592">
        <f t="shared" si="3"/>
        <v>-944234.07810050913</v>
      </c>
      <c r="AF129" s="289"/>
      <c r="AG129" s="289"/>
      <c r="AH129" s="120"/>
    </row>
    <row r="130" spans="1:34" s="1532" customFormat="1">
      <c r="A130" s="1527"/>
      <c r="B130" s="1527"/>
      <c r="C130" s="1809" t="s">
        <v>1260</v>
      </c>
      <c r="F130" s="884"/>
      <c r="G130" s="1587">
        <v>-8820763.3400000017</v>
      </c>
      <c r="H130" s="1587">
        <v>-9010479.6700000018</v>
      </c>
      <c r="I130" s="1587">
        <v>-9499330.6000000015</v>
      </c>
      <c r="J130" s="1587">
        <v>-9699685.9000000022</v>
      </c>
      <c r="K130" s="1587">
        <v>-8831103.6500000022</v>
      </c>
      <c r="L130" s="1587">
        <v>-8591636.7400000021</v>
      </c>
      <c r="M130" s="1587">
        <v>-8445955.9900000021</v>
      </c>
      <c r="N130" s="1587">
        <v>-7995235.2900000028</v>
      </c>
      <c r="O130" s="1587">
        <v>-7417548.5000000019</v>
      </c>
      <c r="P130" s="1587">
        <v>-7228005.3600000013</v>
      </c>
      <c r="Q130" s="1587">
        <v>-7169378.8800000008</v>
      </c>
      <c r="R130" s="1587">
        <v>-6901753.540000001</v>
      </c>
      <c r="S130" s="1587">
        <v>-5278156.540000001</v>
      </c>
      <c r="T130" s="1593">
        <f t="shared" si="4"/>
        <v>-8068387.2307692328</v>
      </c>
      <c r="U130" s="1589"/>
      <c r="V130" s="1590"/>
      <c r="W130" s="1591">
        <f>+'ATT H-9A'!$H$45</f>
        <v>0.17754725405156993</v>
      </c>
      <c r="X130" s="982">
        <f t="shared" si="5"/>
        <v>0</v>
      </c>
      <c r="Y130" s="1590">
        <f t="shared" si="6"/>
        <v>-8068387.2307692328</v>
      </c>
      <c r="Z130" s="1591">
        <f>+'ATT H-9A'!$H$24</f>
        <v>0.14248734844503233</v>
      </c>
      <c r="AA130" s="1592">
        <f t="shared" si="2"/>
        <v>-1149643.1027400652</v>
      </c>
      <c r="AC130" s="1592">
        <f t="shared" si="3"/>
        <v>-1149643.1027400652</v>
      </c>
      <c r="AF130" s="289"/>
      <c r="AG130" s="289"/>
      <c r="AH130" s="120"/>
    </row>
    <row r="131" spans="1:34" s="1532" customFormat="1">
      <c r="A131" s="1527"/>
      <c r="B131" s="1527"/>
      <c r="C131" s="1809" t="s">
        <v>1261</v>
      </c>
      <c r="F131" s="884"/>
      <c r="G131" s="1587">
        <v>-332836</v>
      </c>
      <c r="H131" s="1587">
        <v>-332836</v>
      </c>
      <c r="I131" s="1587">
        <v>-332836</v>
      </c>
      <c r="J131" s="1587">
        <v>-332836</v>
      </c>
      <c r="K131" s="1587">
        <v>-332836</v>
      </c>
      <c r="L131" s="1587">
        <v>-332836</v>
      </c>
      <c r="M131" s="1587">
        <v>-332836</v>
      </c>
      <c r="N131" s="1587">
        <v>-332836</v>
      </c>
      <c r="O131" s="1587">
        <v>-385975</v>
      </c>
      <c r="P131" s="1587">
        <v>-413092</v>
      </c>
      <c r="Q131" s="1587">
        <v>-413092</v>
      </c>
      <c r="R131" s="1587">
        <v>-413092</v>
      </c>
      <c r="S131" s="1587">
        <v>-413092</v>
      </c>
      <c r="T131" s="1593">
        <f t="shared" si="4"/>
        <v>-361617.76923076925</v>
      </c>
      <c r="U131" s="1589"/>
      <c r="V131" s="1590"/>
      <c r="W131" s="1591">
        <f>+'ATT H-9A'!$H$45</f>
        <v>0.17754725405156993</v>
      </c>
      <c r="X131" s="982">
        <f t="shared" si="5"/>
        <v>0</v>
      </c>
      <c r="Y131" s="1590">
        <f t="shared" si="6"/>
        <v>-361617.76923076925</v>
      </c>
      <c r="Z131" s="1591">
        <f>+'ATT H-9A'!$H$24</f>
        <v>0.14248734844503233</v>
      </c>
      <c r="AA131" s="1592">
        <f t="shared" si="2"/>
        <v>-51525.957088299911</v>
      </c>
      <c r="AC131" s="1592">
        <f t="shared" si="3"/>
        <v>-51525.957088299911</v>
      </c>
      <c r="AF131" s="289"/>
      <c r="AG131" s="289"/>
      <c r="AH131" s="120"/>
    </row>
    <row r="132" spans="1:34" s="1532" customFormat="1">
      <c r="A132" s="1527"/>
      <c r="B132" s="1527"/>
      <c r="C132" s="1809" t="s">
        <v>1879</v>
      </c>
      <c r="F132" s="884"/>
      <c r="G132" s="1587">
        <v>-3494830.9500000053</v>
      </c>
      <c r="H132" s="1587">
        <v>-1516974.260000003</v>
      </c>
      <c r="I132" s="1587">
        <v>-563172.61000000301</v>
      </c>
      <c r="J132" s="1587">
        <v>-39011.820000003034</v>
      </c>
      <c r="K132" s="1587">
        <v>354827.64999999694</v>
      </c>
      <c r="L132" s="1587">
        <v>979042.50999999698</v>
      </c>
      <c r="M132" s="1587">
        <v>-2.9103830456733704E-9</v>
      </c>
      <c r="N132" s="1587">
        <v>-2.9103830456733704E-9</v>
      </c>
      <c r="O132" s="1587">
        <v>-2.801243681460619E-9</v>
      </c>
      <c r="P132" s="1587">
        <v>-3.2669049687683582E-9</v>
      </c>
      <c r="Q132" s="1587">
        <v>-3.2669049687683582E-9</v>
      </c>
      <c r="R132" s="1587">
        <v>-3.1868694350123405E-9</v>
      </c>
      <c r="S132" s="1587">
        <v>-3.3396645449101925E-9</v>
      </c>
      <c r="T132" s="1593">
        <f t="shared" si="4"/>
        <v>-329239.96000000334</v>
      </c>
      <c r="U132" s="1589"/>
      <c r="V132" s="1590"/>
      <c r="W132" s="1591">
        <f>+'ATT H-9A'!$H$45</f>
        <v>0.17754725405156993</v>
      </c>
      <c r="X132" s="982">
        <f t="shared" si="5"/>
        <v>0</v>
      </c>
      <c r="Y132" s="1590">
        <f t="shared" si="6"/>
        <v>-329239.96000000334</v>
      </c>
      <c r="Z132" s="1591">
        <f>+'ATT H-9A'!$H$24</f>
        <v>0.14248734844503233</v>
      </c>
      <c r="AA132" s="1592">
        <f t="shared" si="2"/>
        <v>-46912.528902548984</v>
      </c>
      <c r="AC132" s="1592">
        <f t="shared" si="3"/>
        <v>-46912.528902548984</v>
      </c>
      <c r="AF132" s="289"/>
      <c r="AG132" s="289"/>
      <c r="AH132" s="120"/>
    </row>
    <row r="133" spans="1:34" s="1532" customFormat="1">
      <c r="A133" s="1527"/>
      <c r="B133" s="1527"/>
      <c r="C133" s="1809" t="s">
        <v>1262</v>
      </c>
      <c r="F133" s="884"/>
      <c r="G133" s="1587">
        <v>-87947.459999999992</v>
      </c>
      <c r="H133" s="1587">
        <v>-30524.439999999995</v>
      </c>
      <c r="I133" s="1587">
        <v>-35320.459999999992</v>
      </c>
      <c r="J133" s="1587">
        <v>-41552.409999999989</v>
      </c>
      <c r="K133" s="1587">
        <v>-47583.339999999989</v>
      </c>
      <c r="L133" s="1587">
        <v>-53815.289999999994</v>
      </c>
      <c r="M133" s="1587">
        <v>-59846.219999999994</v>
      </c>
      <c r="N133" s="1587">
        <v>-65817.42</v>
      </c>
      <c r="O133" s="1587">
        <v>-72024.22</v>
      </c>
      <c r="P133" s="1587">
        <v>-78030.8</v>
      </c>
      <c r="Q133" s="1587">
        <v>-81889.64</v>
      </c>
      <c r="R133" s="1587">
        <v>-87725.85</v>
      </c>
      <c r="S133" s="1587">
        <v>-93756.6</v>
      </c>
      <c r="T133" s="1593">
        <f t="shared" si="4"/>
        <v>-64294.934615384605</v>
      </c>
      <c r="U133" s="1589"/>
      <c r="V133" s="1590"/>
      <c r="W133" s="1591">
        <f>+'ATT H-9A'!$H$45</f>
        <v>0.17754725405156993</v>
      </c>
      <c r="X133" s="982">
        <f t="shared" si="5"/>
        <v>0</v>
      </c>
      <c r="Y133" s="1590">
        <f t="shared" si="6"/>
        <v>-64294.934615384605</v>
      </c>
      <c r="Z133" s="1591">
        <f>+'ATT H-9A'!$H$24</f>
        <v>0.14248734844503233</v>
      </c>
      <c r="AA133" s="1592">
        <f t="shared" si="2"/>
        <v>-9161.214751792877</v>
      </c>
      <c r="AC133" s="1592">
        <f t="shared" si="3"/>
        <v>-9161.214751792877</v>
      </c>
      <c r="AF133" s="289"/>
      <c r="AG133" s="289"/>
      <c r="AH133" s="120"/>
    </row>
    <row r="134" spans="1:34" s="1532" customFormat="1">
      <c r="A134" s="1527"/>
      <c r="B134" s="1527"/>
      <c r="C134" s="1809" t="s">
        <v>1526</v>
      </c>
      <c r="F134" s="884"/>
      <c r="G134" s="1587">
        <v>-200000.00000000047</v>
      </c>
      <c r="H134" s="1587">
        <v>-200000.00000000047</v>
      </c>
      <c r="I134" s="1587">
        <v>-200000.00000000047</v>
      </c>
      <c r="J134" s="1587">
        <v>-200000.00000000047</v>
      </c>
      <c r="K134" s="1587">
        <v>-200000.00000000047</v>
      </c>
      <c r="L134" s="1587">
        <v>-200000.00000000047</v>
      </c>
      <c r="M134" s="1587">
        <v>-200000.00000000047</v>
      </c>
      <c r="N134" s="1587">
        <v>-200000.00000000047</v>
      </c>
      <c r="O134" s="1587">
        <v>-200000.00000000047</v>
      </c>
      <c r="P134" s="1587">
        <v>-200000.00000000047</v>
      </c>
      <c r="Q134" s="1587">
        <v>-200000.00000000047</v>
      </c>
      <c r="R134" s="1587">
        <v>-200000.00000000047</v>
      </c>
      <c r="S134" s="1587">
        <v>-200000.00000000047</v>
      </c>
      <c r="T134" s="1593">
        <f t="shared" si="4"/>
        <v>-200000.00000000047</v>
      </c>
      <c r="U134" s="1589"/>
      <c r="V134" s="1590"/>
      <c r="W134" s="1591">
        <f>+'ATT H-9A'!$H$45</f>
        <v>0.17754725405156993</v>
      </c>
      <c r="X134" s="982">
        <f t="shared" si="5"/>
        <v>0</v>
      </c>
      <c r="Y134" s="1590">
        <f t="shared" si="6"/>
        <v>-200000.00000000047</v>
      </c>
      <c r="Z134" s="1591">
        <f>+'ATT H-9A'!$H$24</f>
        <v>0.14248734844503233</v>
      </c>
      <c r="AA134" s="1592">
        <f t="shared" si="2"/>
        <v>-28497.469689006532</v>
      </c>
      <c r="AC134" s="1592">
        <f t="shared" si="3"/>
        <v>-28497.469689006532</v>
      </c>
      <c r="AF134" s="289"/>
      <c r="AG134" s="289"/>
      <c r="AH134" s="120"/>
    </row>
    <row r="135" spans="1:34" s="1532" customFormat="1">
      <c r="A135" s="1527"/>
      <c r="B135" s="1527"/>
      <c r="C135" s="1809" t="s">
        <v>1263</v>
      </c>
      <c r="F135" s="884"/>
      <c r="G135" s="1587">
        <v>-594954.67999999993</v>
      </c>
      <c r="H135" s="1587">
        <v>-632248.99999999988</v>
      </c>
      <c r="I135" s="1587">
        <v>-209866.31999999989</v>
      </c>
      <c r="J135" s="1587">
        <v>-262612.16999999993</v>
      </c>
      <c r="K135" s="1587">
        <v>-330106.58999999991</v>
      </c>
      <c r="L135" s="1587">
        <v>-371844.02999999991</v>
      </c>
      <c r="M135" s="1587">
        <v>-422197.14999999991</v>
      </c>
      <c r="N135" s="1587">
        <v>-448349.58999999991</v>
      </c>
      <c r="O135" s="1587">
        <v>-493871.74999999988</v>
      </c>
      <c r="P135" s="1587">
        <v>-529909.35999999987</v>
      </c>
      <c r="Q135" s="1587">
        <v>-564975.3899999999</v>
      </c>
      <c r="R135" s="1587">
        <v>-621874.07999999984</v>
      </c>
      <c r="S135" s="1587">
        <v>-611176.06999999983</v>
      </c>
      <c r="T135" s="1593">
        <f t="shared" ref="T135:T137" si="7">SUM(G135:S135)/13</f>
        <v>-468768.1676923075</v>
      </c>
      <c r="U135" s="1589"/>
      <c r="V135" s="1590"/>
      <c r="W135" s="1591">
        <f>+'ATT H-9A'!$H$45</f>
        <v>0.17754725405156993</v>
      </c>
      <c r="X135" s="982">
        <f t="shared" si="5"/>
        <v>0</v>
      </c>
      <c r="Y135" s="1590">
        <f t="shared" si="6"/>
        <v>-468768.1676923075</v>
      </c>
      <c r="Z135" s="1591">
        <f>+'ATT H-9A'!$H$24</f>
        <v>0.14248734844503233</v>
      </c>
      <c r="AA135" s="1592">
        <f t="shared" si="2"/>
        <v>-66793.533249913162</v>
      </c>
      <c r="AC135" s="1592">
        <f t="shared" si="3"/>
        <v>-66793.533249913162</v>
      </c>
      <c r="AF135" s="289"/>
      <c r="AG135" s="289"/>
      <c r="AH135" s="120"/>
    </row>
    <row r="136" spans="1:34" s="1532" customFormat="1">
      <c r="A136" s="1527"/>
      <c r="B136" s="1527"/>
      <c r="C136" s="1809" t="s">
        <v>1525</v>
      </c>
      <c r="F136" s="884"/>
      <c r="G136" s="1587">
        <v>4.0017766878008842E-11</v>
      </c>
      <c r="H136" s="1587">
        <v>5.7752913562580943E-11</v>
      </c>
      <c r="I136" s="1587">
        <v>-39999.999999999942</v>
      </c>
      <c r="J136" s="1587">
        <v>-26666.999999999942</v>
      </c>
      <c r="K136" s="1587">
        <v>-26666.999999999942</v>
      </c>
      <c r="L136" s="1587">
        <v>-26666.999999999942</v>
      </c>
      <c r="M136" s="1587">
        <v>-26666.999999999942</v>
      </c>
      <c r="N136" s="1587">
        <v>-26666.999999999942</v>
      </c>
      <c r="O136" s="1587">
        <v>-26666.999999999942</v>
      </c>
      <c r="P136" s="1587">
        <v>-26667.009999999944</v>
      </c>
      <c r="Q136" s="1587">
        <v>-26666.999999999942</v>
      </c>
      <c r="R136" s="1587">
        <v>-26666.999999999942</v>
      </c>
      <c r="S136" s="1587">
        <v>-26667.009999999944</v>
      </c>
      <c r="T136" s="1593">
        <f t="shared" si="7"/>
        <v>-23590.001538461482</v>
      </c>
      <c r="U136" s="1589"/>
      <c r="V136" s="1590"/>
      <c r="W136" s="1591">
        <f>+'ATT H-9A'!$H$45</f>
        <v>0.17754725405156993</v>
      </c>
      <c r="X136" s="982">
        <f t="shared" ref="X136" si="8">+V136*W136</f>
        <v>0</v>
      </c>
      <c r="Y136" s="1590">
        <f t="shared" ref="Y136" si="9">+T136</f>
        <v>-23590.001538461482</v>
      </c>
      <c r="Z136" s="1591">
        <f>+'ATT H-9A'!$H$24</f>
        <v>0.14248734844503233</v>
      </c>
      <c r="AA136" s="1592">
        <f t="shared" ref="AA136" si="10">+Z136*Y136</f>
        <v>-3361.27676902961</v>
      </c>
      <c r="AC136" s="1592">
        <f t="shared" ref="AC136" si="11">X136+AA136+AB136</f>
        <v>-3361.27676902961</v>
      </c>
      <c r="AF136" s="289"/>
      <c r="AG136" s="289"/>
      <c r="AH136" s="120"/>
    </row>
    <row r="137" spans="1:34" s="1532" customFormat="1">
      <c r="A137" s="1527"/>
      <c r="B137" s="1527"/>
      <c r="C137" s="1809" t="s">
        <v>1264</v>
      </c>
      <c r="F137" s="884"/>
      <c r="G137" s="1587">
        <v>-248232</v>
      </c>
      <c r="H137" s="1587">
        <v>-248232</v>
      </c>
      <c r="I137" s="1587">
        <v>-248232</v>
      </c>
      <c r="J137" s="1587">
        <v>-248232</v>
      </c>
      <c r="K137" s="1587">
        <v>-248232</v>
      </c>
      <c r="L137" s="1587">
        <v>-248232</v>
      </c>
      <c r="M137" s="1587">
        <v>-248232</v>
      </c>
      <c r="N137" s="1587">
        <v>-248232</v>
      </c>
      <c r="O137" s="1587">
        <v>-248232</v>
      </c>
      <c r="P137" s="1587">
        <v>-248232</v>
      </c>
      <c r="Q137" s="1587">
        <v>-248232</v>
      </c>
      <c r="R137" s="1587">
        <v>-248232</v>
      </c>
      <c r="S137" s="1587">
        <v>-248232</v>
      </c>
      <c r="T137" s="1593">
        <f t="shared" si="7"/>
        <v>-248232</v>
      </c>
      <c r="U137" s="1589"/>
      <c r="V137" s="1590"/>
      <c r="W137" s="1591">
        <f>+'ATT H-9A'!$H$45</f>
        <v>0.17754725405156993</v>
      </c>
      <c r="X137" s="982">
        <f t="shared" ref="X137" si="12">+V137*W137</f>
        <v>0</v>
      </c>
      <c r="Y137" s="1590">
        <f t="shared" ref="Y137" si="13">+T137</f>
        <v>-248232</v>
      </c>
      <c r="Z137" s="1591">
        <v>1</v>
      </c>
      <c r="AA137" s="1592">
        <f t="shared" ref="AA137" si="14">+Z137*Y137</f>
        <v>-248232</v>
      </c>
      <c r="AC137" s="1592">
        <f t="shared" ref="AC137" si="15">X137+AA137+AB137</f>
        <v>-248232</v>
      </c>
      <c r="AF137" s="289"/>
      <c r="AG137" s="289"/>
      <c r="AH137" s="120"/>
    </row>
    <row r="138" spans="1:34" s="1532" customFormat="1">
      <c r="A138" s="1527"/>
      <c r="B138" s="1527"/>
      <c r="C138" s="1809"/>
      <c r="F138" s="884"/>
      <c r="G138" s="1587"/>
      <c r="H138" s="1587"/>
      <c r="I138" s="1587"/>
      <c r="J138" s="1587"/>
      <c r="K138" s="1587"/>
      <c r="L138" s="1587"/>
      <c r="M138" s="1587"/>
      <c r="N138" s="1587"/>
      <c r="O138" s="1587"/>
      <c r="P138" s="1587"/>
      <c r="Q138" s="1587"/>
      <c r="R138" s="1587"/>
      <c r="S138" s="1587"/>
      <c r="T138" s="1593"/>
      <c r="U138" s="1589"/>
      <c r="V138" s="1590"/>
      <c r="W138" s="1591"/>
      <c r="X138" s="982"/>
      <c r="Y138" s="1590"/>
      <c r="Z138" s="1591"/>
      <c r="AA138" s="1592"/>
      <c r="AC138" s="1592"/>
      <c r="AF138" s="289"/>
      <c r="AG138" s="289"/>
      <c r="AH138" s="120"/>
    </row>
    <row r="139" spans="1:34" s="1532" customFormat="1">
      <c r="A139" s="1524"/>
      <c r="G139" s="1595"/>
      <c r="H139" s="1595"/>
      <c r="I139" s="1595"/>
      <c r="J139" s="1595"/>
      <c r="K139" s="1595"/>
      <c r="L139" s="1595"/>
      <c r="M139" s="1595"/>
      <c r="N139" s="1595"/>
      <c r="O139" s="1595"/>
      <c r="P139" s="1595"/>
      <c r="Q139" s="1595"/>
      <c r="R139" s="1595"/>
      <c r="S139" s="1595"/>
      <c r="T139" s="1596"/>
      <c r="U139" s="1597"/>
      <c r="V139" s="1590"/>
      <c r="W139" s="1594"/>
      <c r="X139" s="982"/>
      <c r="Y139" s="1590"/>
      <c r="Z139" s="1591"/>
      <c r="AA139" s="1592"/>
      <c r="AC139" s="1592"/>
      <c r="AF139" s="289"/>
      <c r="AG139" s="289"/>
      <c r="AH139" s="120"/>
    </row>
    <row r="140" spans="1:34" s="1532" customFormat="1" ht="14.5" thickBot="1">
      <c r="A140" s="1524"/>
      <c r="C140" s="1598" t="s">
        <v>1265</v>
      </c>
      <c r="G140" s="1599">
        <f t="shared" ref="G140:S140" si="16">SUM(G120:G139)</f>
        <v>-68097433.110000014</v>
      </c>
      <c r="H140" s="1599">
        <f t="shared" si="16"/>
        <v>-66850286.149999999</v>
      </c>
      <c r="I140" s="1599">
        <f t="shared" si="16"/>
        <v>-54005878.540000007</v>
      </c>
      <c r="J140" s="1599">
        <f t="shared" si="16"/>
        <v>-55165946.359999992</v>
      </c>
      <c r="K140" s="1599">
        <f t="shared" si="16"/>
        <v>-54513600.600000016</v>
      </c>
      <c r="L140" s="1599">
        <f t="shared" si="16"/>
        <v>-54906191.830000006</v>
      </c>
      <c r="M140" s="1599">
        <f t="shared" si="16"/>
        <v>-57607772.659999996</v>
      </c>
      <c r="N140" s="1599">
        <f t="shared" si="16"/>
        <v>-58480499.860000014</v>
      </c>
      <c r="O140" s="1599">
        <f t="shared" si="16"/>
        <v>-51834052.669999994</v>
      </c>
      <c r="P140" s="1599">
        <f t="shared" si="16"/>
        <v>-51958783.489999995</v>
      </c>
      <c r="Q140" s="1599">
        <f t="shared" si="16"/>
        <v>-51554384.710000001</v>
      </c>
      <c r="R140" s="1599">
        <f t="shared" si="16"/>
        <v>-52468709.519999996</v>
      </c>
      <c r="S140" s="1599">
        <f t="shared" si="16"/>
        <v>-53067848.790000007</v>
      </c>
      <c r="T140" s="1600">
        <f t="shared" si="4"/>
        <v>-56193183.714615382</v>
      </c>
      <c r="U140" s="1597"/>
      <c r="V140" s="1601">
        <f>SUM(V120:V139)</f>
        <v>-3119208.1484615374</v>
      </c>
      <c r="W140" s="1602"/>
      <c r="X140" s="1601">
        <f>SUM(X120:X139)</f>
        <v>-553806.84157462767</v>
      </c>
      <c r="Y140" s="1601">
        <f>SUM(Y120:Y139)</f>
        <v>-53073975.566153854</v>
      </c>
      <c r="Z140" s="1603"/>
      <c r="AA140" s="1601">
        <f>SUM(AA120:AA139)</f>
        <v>-7775232.1303784903</v>
      </c>
      <c r="AB140" s="1601">
        <f>SUM(AB120:AB139)</f>
        <v>0</v>
      </c>
      <c r="AC140" s="1601">
        <f>SUM(AC120:AC139)</f>
        <v>-8329038.9719531182</v>
      </c>
      <c r="AD140" s="1586" t="s">
        <v>1266</v>
      </c>
      <c r="AF140" s="289"/>
      <c r="AG140" s="289"/>
      <c r="AH140" s="120"/>
    </row>
    <row r="141" spans="1:34" s="1532" customFormat="1" ht="14.5" thickTop="1">
      <c r="A141" s="1524"/>
      <c r="C141" s="1598"/>
      <c r="G141" s="1604"/>
      <c r="H141" s="1604"/>
      <c r="I141" s="1604"/>
      <c r="J141" s="1604"/>
      <c r="K141" s="1604"/>
      <c r="L141" s="1604"/>
      <c r="M141" s="1604"/>
      <c r="N141" s="1604"/>
      <c r="O141" s="1604"/>
      <c r="P141" s="1604"/>
      <c r="Q141" s="1604"/>
      <c r="R141" s="1604"/>
      <c r="S141" s="1604"/>
      <c r="T141" s="1605"/>
      <c r="U141" s="1606"/>
      <c r="V141" s="1605"/>
      <c r="W141" s="1602"/>
      <c r="X141" s="1605"/>
      <c r="Y141" s="1605"/>
      <c r="Z141" s="1603"/>
      <c r="AA141" s="1605"/>
      <c r="AB141" s="1605"/>
      <c r="AC141" s="1605"/>
      <c r="AD141" s="1586"/>
      <c r="AF141" s="289"/>
      <c r="AG141" s="289"/>
      <c r="AH141" s="120"/>
    </row>
    <row r="142" spans="1:34" s="1532" customFormat="1" ht="15" customHeight="1">
      <c r="A142" s="1524"/>
      <c r="C142" s="1940" t="s">
        <v>1267</v>
      </c>
      <c r="D142" s="1940"/>
      <c r="E142" s="1940"/>
      <c r="F142" s="1940"/>
      <c r="G142" s="1940"/>
      <c r="H142" s="1940"/>
      <c r="I142" s="1940"/>
      <c r="J142" s="1940"/>
      <c r="K142" s="1940"/>
      <c r="L142" s="1940"/>
      <c r="M142" s="1940"/>
      <c r="N142" s="1940"/>
      <c r="O142" s="1940"/>
      <c r="P142" s="1940"/>
      <c r="Q142" s="1940"/>
      <c r="R142" s="1940"/>
      <c r="S142" s="1940"/>
      <c r="T142" s="1940"/>
      <c r="U142" s="1606"/>
      <c r="V142" s="1607"/>
      <c r="W142" s="1602"/>
      <c r="X142" s="1605"/>
      <c r="Y142" s="1605"/>
      <c r="Z142" s="1603"/>
      <c r="AA142" s="1605"/>
      <c r="AB142" s="1605"/>
      <c r="AC142" s="1605"/>
      <c r="AD142" s="1586"/>
      <c r="AF142" s="289"/>
      <c r="AG142" s="289"/>
      <c r="AH142" s="120"/>
    </row>
    <row r="143" spans="1:34" s="1532" customFormat="1">
      <c r="A143" s="1524"/>
      <c r="C143" s="1940"/>
      <c r="D143" s="1940"/>
      <c r="E143" s="1940"/>
      <c r="F143" s="1940"/>
      <c r="G143" s="1940"/>
      <c r="H143" s="1940"/>
      <c r="I143" s="1940"/>
      <c r="J143" s="1940"/>
      <c r="K143" s="1940"/>
      <c r="L143" s="1940"/>
      <c r="M143" s="1940"/>
      <c r="N143" s="1940"/>
      <c r="O143" s="1940"/>
      <c r="P143" s="1940"/>
      <c r="Q143" s="1940"/>
      <c r="R143" s="1940"/>
      <c r="S143" s="1940"/>
      <c r="T143" s="1940"/>
      <c r="U143" s="1606"/>
      <c r="V143" s="1605"/>
      <c r="W143" s="1602"/>
      <c r="X143" s="1605"/>
      <c r="Y143" s="1605"/>
      <c r="Z143" s="1603"/>
      <c r="AA143" s="1605"/>
      <c r="AB143" s="1605"/>
      <c r="AC143" s="1605"/>
      <c r="AD143" s="1586"/>
      <c r="AF143" s="289"/>
      <c r="AG143" s="289"/>
      <c r="AH143" s="120"/>
    </row>
    <row r="144" spans="1:34" s="1532" customFormat="1">
      <c r="A144" s="1524"/>
      <c r="C144" s="1940"/>
      <c r="D144" s="1940"/>
      <c r="E144" s="1940"/>
      <c r="F144" s="1940"/>
      <c r="G144" s="1940"/>
      <c r="H144" s="1940"/>
      <c r="I144" s="1940"/>
      <c r="J144" s="1940"/>
      <c r="K144" s="1940"/>
      <c r="L144" s="1940"/>
      <c r="M144" s="1940"/>
      <c r="N144" s="1940"/>
      <c r="O144" s="1940"/>
      <c r="P144" s="1940"/>
      <c r="Q144" s="1940"/>
      <c r="R144" s="1940"/>
      <c r="S144" s="1940"/>
      <c r="T144" s="1940"/>
      <c r="U144" s="1606"/>
      <c r="V144" s="1605"/>
      <c r="W144" s="1602"/>
      <c r="X144" s="1605"/>
      <c r="Y144" s="1605"/>
      <c r="Z144" s="1603"/>
      <c r="AA144" s="1605"/>
      <c r="AB144" s="1605"/>
      <c r="AC144" s="1605"/>
      <c r="AD144" s="1586"/>
      <c r="AF144" s="289"/>
      <c r="AG144" s="289"/>
      <c r="AH144" s="120"/>
    </row>
    <row r="145" spans="1:34" s="1532" customFormat="1" ht="14.5" thickBot="1">
      <c r="A145" s="1608"/>
      <c r="B145" s="1479"/>
      <c r="C145" s="1609"/>
      <c r="D145" s="1609"/>
      <c r="E145" s="1609"/>
      <c r="F145" s="1609"/>
      <c r="G145" s="1609"/>
      <c r="H145" s="1609"/>
      <c r="I145" s="1609"/>
      <c r="J145" s="1609"/>
      <c r="K145" s="1609"/>
      <c r="L145" s="1609"/>
      <c r="M145" s="1609"/>
      <c r="N145" s="1609"/>
      <c r="O145" s="1609"/>
      <c r="P145" s="1609"/>
      <c r="Q145" s="1609"/>
      <c r="R145" s="1609"/>
      <c r="S145" s="1609"/>
      <c r="T145" s="1609"/>
      <c r="U145" s="1609"/>
      <c r="V145" s="1609"/>
      <c r="W145" s="1479"/>
      <c r="X145" s="1479"/>
      <c r="Y145" s="1479"/>
      <c r="Z145" s="1479"/>
      <c r="AA145" s="1479"/>
      <c r="AB145" s="1479"/>
      <c r="AC145" s="1479"/>
      <c r="AD145" s="122"/>
      <c r="AE145" s="122"/>
      <c r="AF145" s="122"/>
      <c r="AG145" s="122"/>
      <c r="AH145" s="124"/>
    </row>
    <row r="146" spans="1:34">
      <c r="A146" s="1530"/>
      <c r="B146" s="1530"/>
      <c r="C146" s="1530"/>
      <c r="D146" s="1530"/>
      <c r="E146" s="1530"/>
      <c r="F146" s="1530"/>
      <c r="G146" s="112"/>
      <c r="H146" s="112"/>
      <c r="I146" s="112"/>
      <c r="J146" s="112"/>
      <c r="K146" s="1531"/>
      <c r="L146" s="112"/>
      <c r="M146" s="112"/>
      <c r="N146" s="112"/>
      <c r="O146" s="112"/>
      <c r="P146" s="112"/>
      <c r="Q146" s="112"/>
    </row>
    <row r="147" spans="1:34" ht="14.5" thickBot="1">
      <c r="A147" s="1530"/>
      <c r="B147" s="1530"/>
      <c r="C147" s="1530"/>
      <c r="D147" s="1530"/>
      <c r="E147" s="1530"/>
      <c r="F147" s="1530"/>
      <c r="G147" s="112"/>
      <c r="H147" s="112"/>
      <c r="I147" s="112"/>
      <c r="J147" s="112"/>
      <c r="K147" s="1531"/>
      <c r="L147" s="112"/>
      <c r="M147" s="112"/>
      <c r="N147" s="112"/>
      <c r="O147" s="112"/>
      <c r="P147" s="112"/>
      <c r="Q147" s="112"/>
    </row>
    <row r="148" spans="1:34" ht="18">
      <c r="A148" s="1941" t="s">
        <v>1384</v>
      </c>
      <c r="B148" s="1942"/>
      <c r="C148" s="1942"/>
      <c r="D148" s="1942"/>
      <c r="E148" s="1942"/>
      <c r="F148" s="1942"/>
      <c r="G148" s="1610"/>
      <c r="H148" s="1611" t="s">
        <v>296</v>
      </c>
      <c r="I148" s="1611" t="s">
        <v>1215</v>
      </c>
      <c r="J148" s="1612" t="s">
        <v>1501</v>
      </c>
      <c r="K148" s="1531"/>
      <c r="L148" s="112"/>
      <c r="M148" s="112"/>
      <c r="N148" s="112"/>
      <c r="O148" s="112"/>
      <c r="P148" s="112"/>
      <c r="Q148" s="112"/>
    </row>
    <row r="149" spans="1:34" ht="15.5">
      <c r="A149" s="1613"/>
      <c r="C149" s="884" t="s">
        <v>1384</v>
      </c>
      <c r="D149" s="1614"/>
      <c r="E149" s="1615"/>
      <c r="F149" s="1615"/>
      <c r="G149" s="1616">
        <v>0</v>
      </c>
      <c r="H149" s="1617">
        <f>+'ATT H-9A'!H24</f>
        <v>0.14248734844503233</v>
      </c>
      <c r="I149" s="884" t="s">
        <v>1397</v>
      </c>
      <c r="J149" s="1618"/>
      <c r="K149" s="1531"/>
      <c r="L149" s="112"/>
      <c r="M149" s="112"/>
      <c r="N149" s="112"/>
      <c r="O149" s="112"/>
      <c r="P149" s="112"/>
      <c r="Q149" s="112"/>
    </row>
    <row r="150" spans="1:34" ht="15.5">
      <c r="A150" s="1613"/>
      <c r="D150" s="1614"/>
      <c r="E150" s="1615"/>
      <c r="F150" s="1615"/>
      <c r="G150" s="1616">
        <v>0</v>
      </c>
      <c r="H150" s="1619">
        <v>1</v>
      </c>
      <c r="I150" s="884" t="s">
        <v>1251</v>
      </c>
      <c r="J150" s="1618"/>
      <c r="K150" s="1531"/>
      <c r="L150" s="112"/>
      <c r="M150" s="112"/>
      <c r="N150" s="112"/>
      <c r="O150" s="112"/>
      <c r="P150" s="112"/>
      <c r="Q150" s="112"/>
    </row>
    <row r="151" spans="1:34" ht="15.5">
      <c r="A151" s="1613"/>
      <c r="D151" s="1614"/>
      <c r="E151" s="1615"/>
      <c r="F151" s="1615"/>
      <c r="G151" s="1616">
        <v>0</v>
      </c>
      <c r="H151" s="1617">
        <f>+'ATT H-9A'!H45</f>
        <v>0.17754725405156993</v>
      </c>
      <c r="I151" s="884" t="s">
        <v>665</v>
      </c>
      <c r="J151" s="1618"/>
      <c r="K151" s="1531"/>
      <c r="L151" s="112"/>
      <c r="M151" s="112"/>
      <c r="N151" s="112"/>
      <c r="O151" s="112"/>
      <c r="P151" s="112"/>
      <c r="Q151" s="112"/>
    </row>
    <row r="152" spans="1:34" ht="15.5">
      <c r="A152" s="1613"/>
      <c r="D152" s="1614"/>
      <c r="E152" s="1615"/>
      <c r="F152" s="1615"/>
      <c r="G152" s="1620"/>
      <c r="H152" s="1615"/>
      <c r="J152" s="1618"/>
      <c r="K152" s="1531"/>
      <c r="L152" s="112"/>
      <c r="M152" s="112"/>
      <c r="N152" s="112"/>
      <c r="O152" s="112"/>
      <c r="P152" s="112"/>
      <c r="Q152" s="112"/>
    </row>
    <row r="153" spans="1:34" ht="15.5">
      <c r="A153" s="1613"/>
      <c r="D153" s="1614"/>
      <c r="E153" s="1615"/>
      <c r="F153" s="1615"/>
      <c r="G153" s="1616">
        <f>SUM(G149:G152)</f>
        <v>0</v>
      </c>
      <c r="H153" s="1615"/>
      <c r="J153" s="1618"/>
      <c r="K153" s="1531"/>
      <c r="L153" s="112"/>
      <c r="M153" s="112"/>
      <c r="N153" s="112"/>
      <c r="O153" s="112"/>
      <c r="P153" s="112"/>
      <c r="Q153" s="112"/>
    </row>
    <row r="154" spans="1:34" ht="15.5">
      <c r="A154" s="1613"/>
      <c r="C154" s="1621"/>
      <c r="D154" s="1614"/>
      <c r="E154" s="1622"/>
      <c r="F154" s="1615"/>
      <c r="G154" s="1623"/>
      <c r="H154" s="1615"/>
      <c r="J154" s="1618"/>
      <c r="K154" s="1531"/>
      <c r="L154" s="112"/>
      <c r="M154" s="112"/>
      <c r="N154" s="112"/>
      <c r="O154" s="112"/>
      <c r="P154" s="112"/>
      <c r="Q154" s="112"/>
    </row>
    <row r="155" spans="1:34" ht="15.5">
      <c r="A155" s="1613"/>
      <c r="C155" s="1621"/>
      <c r="D155" s="1614"/>
      <c r="E155" s="1622"/>
      <c r="F155" s="1615"/>
      <c r="G155" s="1624"/>
      <c r="J155" s="1618"/>
      <c r="K155" s="1531"/>
      <c r="L155" s="112"/>
      <c r="M155" s="112"/>
      <c r="N155" s="112"/>
      <c r="O155" s="112"/>
      <c r="P155" s="112"/>
      <c r="Q155" s="112"/>
    </row>
    <row r="156" spans="1:34" ht="15.5">
      <c r="A156" s="1613"/>
      <c r="C156" s="1621"/>
      <c r="D156" s="1614"/>
      <c r="E156" s="1622"/>
      <c r="F156" s="1615"/>
      <c r="G156" s="1625"/>
      <c r="H156" s="1615"/>
      <c r="J156" s="1618"/>
      <c r="K156" s="1531"/>
      <c r="L156" s="112"/>
      <c r="M156" s="112"/>
      <c r="N156" s="112"/>
      <c r="O156" s="112"/>
      <c r="P156" s="112"/>
      <c r="Q156" s="112"/>
    </row>
    <row r="157" spans="1:34" ht="16" thickBot="1">
      <c r="A157" s="1477"/>
      <c r="B157" s="1478"/>
      <c r="C157" s="1478"/>
      <c r="D157" s="1626"/>
      <c r="E157" s="1627"/>
      <c r="F157" s="1627"/>
      <c r="G157" s="1627">
        <f>SUMPRODUCT(G149:G152,H149:H152)</f>
        <v>0</v>
      </c>
      <c r="H157" s="1627" t="s">
        <v>1385</v>
      </c>
      <c r="I157" s="1478"/>
      <c r="J157" s="1480"/>
      <c r="K157" s="1531"/>
      <c r="L157" s="112"/>
      <c r="M157" s="112"/>
      <c r="N157" s="112"/>
      <c r="O157" s="112"/>
      <c r="P157" s="112"/>
      <c r="Q157" s="112"/>
    </row>
    <row r="158" spans="1:34">
      <c r="A158" s="1530"/>
      <c r="B158" s="1530"/>
      <c r="C158" s="1530"/>
      <c r="D158" s="1530"/>
      <c r="E158" s="1530"/>
      <c r="F158" s="1530"/>
      <c r="G158" s="112"/>
      <c r="H158" s="112"/>
      <c r="I158" s="112"/>
      <c r="J158" s="112"/>
      <c r="K158" s="1531"/>
      <c r="L158" s="112"/>
      <c r="M158" s="112"/>
      <c r="N158" s="112"/>
      <c r="O158" s="112"/>
      <c r="P158" s="112"/>
      <c r="Q158" s="112"/>
    </row>
    <row r="159" spans="1:34">
      <c r="A159" s="1530"/>
      <c r="B159" s="1530"/>
      <c r="C159" s="1530"/>
      <c r="D159" s="1530"/>
      <c r="E159" s="1530"/>
      <c r="F159" s="1530"/>
      <c r="G159" s="112"/>
      <c r="H159" s="112"/>
      <c r="I159" s="112"/>
      <c r="J159" s="112"/>
      <c r="K159" s="1531"/>
      <c r="L159" s="112"/>
      <c r="M159" s="112"/>
      <c r="N159" s="112"/>
      <c r="O159" s="112"/>
      <c r="P159" s="112"/>
      <c r="Q159" s="112"/>
    </row>
    <row r="160" spans="1:34">
      <c r="A160" s="1530"/>
      <c r="B160" s="1530"/>
      <c r="C160" s="1530"/>
      <c r="D160" s="1530"/>
      <c r="E160" s="1530"/>
      <c r="F160" s="1530"/>
      <c r="G160" s="112"/>
      <c r="H160" s="112"/>
      <c r="I160" s="112"/>
      <c r="J160" s="112"/>
      <c r="K160" s="1531"/>
      <c r="L160" s="112"/>
      <c r="M160" s="112"/>
      <c r="N160" s="112"/>
      <c r="O160" s="112"/>
      <c r="P160" s="112"/>
      <c r="Q160" s="112"/>
    </row>
    <row r="161" spans="1:17" ht="20.5" thickBot="1">
      <c r="A161" s="107" t="s">
        <v>138</v>
      </c>
      <c r="G161" s="101"/>
      <c r="H161" s="101"/>
      <c r="I161" s="101"/>
      <c r="J161" s="101"/>
      <c r="K161" s="101"/>
      <c r="L161" s="101"/>
      <c r="M161" s="101"/>
      <c r="N161" s="101"/>
      <c r="O161" s="101"/>
      <c r="P161" s="101"/>
      <c r="Q161" s="101"/>
    </row>
    <row r="162" spans="1:17" ht="27">
      <c r="A162" s="1886" t="s">
        <v>65</v>
      </c>
      <c r="B162" s="1887"/>
      <c r="C162" s="1887"/>
      <c r="D162" s="1887"/>
      <c r="E162" s="1887"/>
      <c r="F162" s="1888"/>
      <c r="G162" s="1438" t="s">
        <v>437</v>
      </c>
      <c r="H162" s="1909" t="s">
        <v>139</v>
      </c>
      <c r="I162" s="1930"/>
      <c r="J162" s="1930"/>
      <c r="K162" s="1930"/>
      <c r="L162" s="1930"/>
      <c r="M162" s="1930"/>
      <c r="N162" s="1930"/>
      <c r="O162" s="1930"/>
      <c r="P162" s="1930"/>
      <c r="Q162" s="1931"/>
    </row>
    <row r="163" spans="1:17" ht="15.5">
      <c r="A163" s="1628"/>
      <c r="B163" s="1453" t="s">
        <v>140</v>
      </c>
      <c r="C163" s="1629"/>
      <c r="D163" s="222"/>
      <c r="E163" s="1485"/>
      <c r="F163" s="1509"/>
      <c r="G163" s="1475" t="s">
        <v>116</v>
      </c>
      <c r="H163" s="112"/>
      <c r="I163" s="112"/>
      <c r="J163" s="112"/>
      <c r="K163" s="112"/>
      <c r="L163" s="112"/>
      <c r="M163" s="112"/>
      <c r="N163" s="112"/>
      <c r="O163" s="112"/>
      <c r="P163" s="112"/>
      <c r="Q163" s="119"/>
    </row>
    <row r="164" spans="1:17" ht="15.5">
      <c r="A164" s="1443">
        <v>55</v>
      </c>
      <c r="B164" s="1054"/>
      <c r="C164" s="1000" t="s">
        <v>437</v>
      </c>
      <c r="D164" s="1054"/>
      <c r="E164" s="1444" t="s">
        <v>976</v>
      </c>
      <c r="F164" s="1474" t="s">
        <v>438</v>
      </c>
      <c r="G164" s="1475">
        <v>0</v>
      </c>
      <c r="H164" s="1935" t="s">
        <v>141</v>
      </c>
      <c r="I164" s="1936"/>
      <c r="J164" s="1936"/>
      <c r="K164" s="1936"/>
      <c r="L164" s="1936"/>
      <c r="M164" s="1936"/>
      <c r="N164" s="1936"/>
      <c r="O164" s="1936"/>
      <c r="P164" s="1936"/>
      <c r="Q164" s="1937"/>
    </row>
    <row r="165" spans="1:17" ht="15.5">
      <c r="A165" s="1443"/>
      <c r="B165" s="1054"/>
      <c r="C165" s="1000"/>
      <c r="D165" s="1054"/>
      <c r="E165" s="1444"/>
      <c r="F165" s="1474"/>
      <c r="G165" s="112"/>
      <c r="H165" s="112"/>
      <c r="I165" s="112"/>
      <c r="J165" s="112"/>
      <c r="K165" s="112"/>
      <c r="L165" s="112"/>
      <c r="M165" s="112"/>
      <c r="N165" s="112"/>
      <c r="O165" s="1475"/>
      <c r="P165" s="112"/>
      <c r="Q165" s="119"/>
    </row>
    <row r="166" spans="1:17" ht="15.5">
      <c r="A166" s="1443"/>
      <c r="B166" s="1054"/>
      <c r="C166" s="1000"/>
      <c r="D166" s="1054"/>
      <c r="E166" s="1444"/>
      <c r="F166" s="1474"/>
      <c r="H166" s="1935" t="s">
        <v>95</v>
      </c>
      <c r="I166" s="1936"/>
      <c r="J166" s="1936"/>
      <c r="K166" s="1936"/>
      <c r="L166" s="1936"/>
      <c r="M166" s="1936"/>
      <c r="N166" s="1936"/>
      <c r="O166" s="1936"/>
      <c r="P166" s="1936"/>
      <c r="Q166" s="1937"/>
    </row>
    <row r="167" spans="1:17" ht="15.5">
      <c r="A167" s="1443"/>
      <c r="B167" s="1054"/>
      <c r="C167" s="1000"/>
      <c r="D167" s="1054"/>
      <c r="E167" s="1444"/>
      <c r="F167" s="1474"/>
      <c r="G167" s="1475"/>
      <c r="H167" s="1935"/>
      <c r="I167" s="1936"/>
      <c r="J167" s="1936"/>
      <c r="K167" s="1936"/>
      <c r="L167" s="1936"/>
      <c r="M167" s="1936"/>
      <c r="N167" s="1936"/>
      <c r="O167" s="1936"/>
      <c r="P167" s="1936"/>
      <c r="Q167" s="1937"/>
    </row>
    <row r="168" spans="1:17" ht="15.5">
      <c r="A168" s="1443"/>
      <c r="B168" s="1054"/>
      <c r="C168" s="1000"/>
      <c r="D168" s="1054"/>
      <c r="E168" s="1444"/>
      <c r="F168" s="1474"/>
      <c r="G168" s="1475"/>
      <c r="H168" s="1935"/>
      <c r="I168" s="1936"/>
      <c r="J168" s="1936"/>
      <c r="K168" s="1936"/>
      <c r="L168" s="1936"/>
      <c r="M168" s="1936"/>
      <c r="N168" s="1936"/>
      <c r="O168" s="1936"/>
      <c r="P168" s="1936"/>
      <c r="Q168" s="1937"/>
    </row>
    <row r="169" spans="1:17" ht="15.5">
      <c r="A169" s="1443">
        <v>56</v>
      </c>
      <c r="B169" s="1054"/>
      <c r="C169" s="171" t="s">
        <v>1396</v>
      </c>
      <c r="D169" s="1054"/>
      <c r="E169" s="1444" t="s">
        <v>976</v>
      </c>
      <c r="F169" s="1474" t="s">
        <v>438</v>
      </c>
      <c r="G169" s="1475">
        <v>0</v>
      </c>
      <c r="H169" s="1935"/>
      <c r="I169" s="1936"/>
      <c r="J169" s="1936"/>
      <c r="K169" s="1936"/>
      <c r="L169" s="1936"/>
      <c r="M169" s="1936"/>
      <c r="N169" s="1936"/>
      <c r="O169" s="1936"/>
      <c r="P169" s="1936"/>
      <c r="Q169" s="1937"/>
    </row>
    <row r="170" spans="1:17" ht="15.5">
      <c r="A170" s="1443"/>
      <c r="B170" s="1054"/>
      <c r="C170" s="1054"/>
      <c r="D170" s="1054"/>
      <c r="E170" s="1444"/>
      <c r="F170" s="1630"/>
      <c r="G170" s="1475"/>
      <c r="H170" s="1935"/>
      <c r="I170" s="1936"/>
      <c r="J170" s="1936"/>
      <c r="K170" s="1936"/>
      <c r="L170" s="1936"/>
      <c r="M170" s="1936"/>
      <c r="N170" s="1936"/>
      <c r="O170" s="1936"/>
      <c r="P170" s="1936"/>
      <c r="Q170" s="1937"/>
    </row>
    <row r="171" spans="1:17" ht="15.5">
      <c r="A171" s="1443"/>
      <c r="B171" s="1054"/>
      <c r="C171" s="1054"/>
      <c r="D171" s="1054"/>
      <c r="E171" s="1444"/>
      <c r="F171" s="1630"/>
      <c r="G171" s="1475"/>
      <c r="H171" s="1935" t="s">
        <v>95</v>
      </c>
      <c r="I171" s="1936"/>
      <c r="J171" s="1936"/>
      <c r="K171" s="1936"/>
      <c r="L171" s="1936"/>
      <c r="M171" s="1936"/>
      <c r="N171" s="1936"/>
      <c r="O171" s="1936"/>
      <c r="P171" s="1936"/>
      <c r="Q171" s="1937"/>
    </row>
    <row r="172" spans="1:17" ht="15.5">
      <c r="A172" s="1443"/>
      <c r="B172" s="1054"/>
      <c r="C172" s="1054"/>
      <c r="D172" s="1054"/>
      <c r="E172" s="1444"/>
      <c r="F172" s="1630"/>
      <c r="G172" s="1475"/>
      <c r="H172" s="1935"/>
      <c r="I172" s="1936"/>
      <c r="J172" s="1936"/>
      <c r="K172" s="1936"/>
      <c r="L172" s="1936"/>
      <c r="M172" s="1936"/>
      <c r="N172" s="1936"/>
      <c r="O172" s="1936"/>
      <c r="P172" s="1936"/>
      <c r="Q172" s="1937"/>
    </row>
    <row r="173" spans="1:17" ht="16" thickBot="1">
      <c r="A173" s="1462"/>
      <c r="B173" s="1463"/>
      <c r="C173" s="1463"/>
      <c r="D173" s="1463"/>
      <c r="E173" s="1466"/>
      <c r="F173" s="1631"/>
      <c r="G173" s="123"/>
      <c r="H173" s="123"/>
      <c r="I173" s="123"/>
      <c r="J173" s="123"/>
      <c r="K173" s="1529" t="s">
        <v>127</v>
      </c>
      <c r="L173" s="123"/>
      <c r="M173" s="123"/>
      <c r="N173" s="123"/>
      <c r="O173" s="123"/>
      <c r="P173" s="123"/>
      <c r="Q173" s="1481"/>
    </row>
    <row r="174" spans="1:17" ht="15.5">
      <c r="A174" s="1054"/>
      <c r="B174" s="1054"/>
      <c r="C174" s="1054"/>
      <c r="D174" s="1054"/>
      <c r="E174" s="1444"/>
      <c r="F174" s="1054"/>
      <c r="G174" s="112"/>
      <c r="H174" s="112"/>
      <c r="I174" s="112"/>
      <c r="J174" s="112"/>
      <c r="K174" s="1531"/>
      <c r="L174" s="112"/>
      <c r="M174" s="112"/>
      <c r="N174" s="112"/>
      <c r="O174" s="112"/>
      <c r="P174" s="112"/>
      <c r="Q174" s="112"/>
    </row>
    <row r="175" spans="1:17" ht="20.5" thickBot="1">
      <c r="A175" s="113" t="s">
        <v>142</v>
      </c>
      <c r="B175" s="1054"/>
      <c r="C175" s="1054"/>
      <c r="D175" s="1054"/>
      <c r="E175" s="1444"/>
      <c r="F175" s="1054"/>
      <c r="G175" s="112"/>
      <c r="H175" s="112"/>
      <c r="I175" s="112"/>
      <c r="J175" s="112"/>
      <c r="K175" s="1531"/>
      <c r="L175" s="112"/>
      <c r="M175" s="112"/>
      <c r="N175" s="112"/>
      <c r="O175" s="112"/>
      <c r="P175" s="112"/>
      <c r="Q175" s="112"/>
    </row>
    <row r="176" spans="1:17" ht="18">
      <c r="A176" s="1886" t="s">
        <v>65</v>
      </c>
      <c r="B176" s="1887"/>
      <c r="C176" s="1887"/>
      <c r="D176" s="1887"/>
      <c r="E176" s="1887"/>
      <c r="F176" s="1888"/>
      <c r="G176" s="1632" t="s">
        <v>143</v>
      </c>
      <c r="H176" s="1633" t="s">
        <v>144</v>
      </c>
      <c r="I176" s="1633" t="s">
        <v>145</v>
      </c>
      <c r="J176" s="1633" t="s">
        <v>146</v>
      </c>
      <c r="K176" s="1634"/>
      <c r="L176" s="1633"/>
      <c r="M176" s="1633"/>
      <c r="N176" s="1633"/>
      <c r="O176" s="1633"/>
      <c r="P176" s="1633"/>
      <c r="Q176" s="1635"/>
    </row>
    <row r="177" spans="1:18" ht="15.5">
      <c r="A177" s="1443">
        <v>61</v>
      </c>
      <c r="B177" s="1054"/>
      <c r="C177" s="1000" t="s">
        <v>444</v>
      </c>
      <c r="D177" s="1054"/>
      <c r="E177" s="1054"/>
      <c r="F177" s="1636" t="s">
        <v>425</v>
      </c>
      <c r="G177" s="1637">
        <v>0</v>
      </c>
      <c r="H177" s="112"/>
      <c r="I177" s="112"/>
      <c r="J177" s="112"/>
      <c r="K177" s="1531"/>
      <c r="L177" s="112"/>
      <c r="M177" s="112"/>
      <c r="N177" s="112"/>
      <c r="O177" s="112"/>
      <c r="P177" s="112"/>
      <c r="Q177" s="119"/>
      <c r="R177" s="1053"/>
    </row>
    <row r="178" spans="1:18" ht="16" thickBot="1">
      <c r="A178" s="1462">
        <v>62</v>
      </c>
      <c r="B178" s="1463"/>
      <c r="C178" s="1464" t="s">
        <v>445</v>
      </c>
      <c r="D178" s="1463"/>
      <c r="E178" s="1463"/>
      <c r="F178" s="1638" t="s">
        <v>425</v>
      </c>
      <c r="G178" s="1639">
        <v>0</v>
      </c>
      <c r="H178" s="123">
        <v>5</v>
      </c>
      <c r="I178" s="1640">
        <v>0</v>
      </c>
      <c r="J178" s="1640">
        <v>0</v>
      </c>
      <c r="K178" s="1529"/>
      <c r="L178" s="123"/>
      <c r="M178" s="123"/>
      <c r="N178" s="123"/>
      <c r="O178" s="123"/>
      <c r="P178" s="123"/>
      <c r="Q178" s="1481"/>
      <c r="R178" s="1053"/>
    </row>
    <row r="179" spans="1:18" ht="15.5">
      <c r="A179" s="1054"/>
      <c r="B179" s="1054"/>
      <c r="C179" s="1054"/>
      <c r="D179" s="1054"/>
      <c r="E179" s="1444"/>
      <c r="F179" s="1054"/>
      <c r="G179" s="112"/>
      <c r="H179" s="112"/>
      <c r="I179" s="112"/>
      <c r="J179" s="112"/>
      <c r="K179" s="1531"/>
      <c r="L179" s="112"/>
      <c r="M179" s="112"/>
      <c r="N179" s="112"/>
      <c r="O179" s="112"/>
      <c r="P179" s="112"/>
      <c r="Q179" s="112"/>
    </row>
    <row r="180" spans="1:18" ht="15.5">
      <c r="A180" s="1054"/>
      <c r="B180" s="1054"/>
      <c r="C180" s="1054"/>
      <c r="D180" s="1054"/>
      <c r="E180" s="1444"/>
      <c r="F180" s="1054"/>
      <c r="G180" s="112"/>
      <c r="H180" s="112"/>
      <c r="I180" s="112"/>
      <c r="J180" s="112"/>
      <c r="K180" s="1531"/>
      <c r="L180" s="112"/>
      <c r="M180" s="112"/>
      <c r="N180" s="112"/>
      <c r="O180" s="112"/>
      <c r="P180" s="112"/>
      <c r="Q180" s="112"/>
    </row>
    <row r="181" spans="1:18" ht="20.5" thickBot="1">
      <c r="A181" s="107" t="s">
        <v>147</v>
      </c>
      <c r="G181" s="101"/>
      <c r="H181" s="101"/>
      <c r="I181" s="101"/>
      <c r="J181" s="101"/>
      <c r="K181" s="101"/>
      <c r="L181" s="101"/>
      <c r="M181" s="101"/>
      <c r="N181" s="101"/>
      <c r="O181" s="101"/>
      <c r="P181" s="101"/>
      <c r="Q181" s="101"/>
    </row>
    <row r="182" spans="1:18" ht="27">
      <c r="A182" s="1886" t="s">
        <v>65</v>
      </c>
      <c r="B182" s="1887"/>
      <c r="C182" s="1887"/>
      <c r="D182" s="1887"/>
      <c r="E182" s="1887"/>
      <c r="F182" s="1888"/>
      <c r="G182" s="1438" t="s">
        <v>545</v>
      </c>
      <c r="H182" s="1909" t="s">
        <v>148</v>
      </c>
      <c r="I182" s="1930"/>
      <c r="J182" s="1930"/>
      <c r="K182" s="1930"/>
      <c r="L182" s="1930"/>
      <c r="M182" s="1930"/>
      <c r="N182" s="1930"/>
      <c r="O182" s="1930"/>
      <c r="P182" s="1930"/>
      <c r="Q182" s="1931"/>
    </row>
    <row r="183" spans="1:18" ht="15.5">
      <c r="A183" s="1443"/>
      <c r="B183" s="1453" t="s">
        <v>542</v>
      </c>
      <c r="C183" s="1054"/>
      <c r="D183" s="1054"/>
      <c r="E183" s="1054"/>
      <c r="F183" s="1630"/>
      <c r="G183" s="1475" t="s">
        <v>116</v>
      </c>
      <c r="H183" s="112"/>
      <c r="I183" s="112"/>
      <c r="J183" s="112"/>
      <c r="K183" s="112"/>
      <c r="L183" s="112"/>
      <c r="M183" s="112"/>
      <c r="N183" s="112"/>
      <c r="O183" s="112"/>
      <c r="P183" s="112"/>
      <c r="Q183" s="119"/>
    </row>
    <row r="184" spans="1:18" ht="15" customHeight="1">
      <c r="A184" s="1443">
        <v>155</v>
      </c>
      <c r="B184" s="1054"/>
      <c r="C184" s="1000" t="s">
        <v>545</v>
      </c>
      <c r="D184" s="1054"/>
      <c r="E184" s="1444" t="s">
        <v>976</v>
      </c>
      <c r="F184" s="1474" t="s">
        <v>449</v>
      </c>
      <c r="G184" s="1641">
        <v>0</v>
      </c>
      <c r="H184" s="1935" t="s">
        <v>95</v>
      </c>
      <c r="I184" s="1936"/>
      <c r="J184" s="1936"/>
      <c r="K184" s="1936"/>
      <c r="L184" s="1936"/>
      <c r="M184" s="1936"/>
      <c r="N184" s="1936"/>
      <c r="O184" s="1936"/>
      <c r="P184" s="1936"/>
      <c r="Q184" s="1937"/>
      <c r="R184" s="101"/>
    </row>
    <row r="185" spans="1:18" ht="15.5">
      <c r="A185" s="1443"/>
      <c r="B185" s="1054"/>
      <c r="C185" s="1054"/>
      <c r="D185" s="1054"/>
      <c r="E185" s="1444"/>
      <c r="F185" s="1630"/>
      <c r="G185" s="112"/>
      <c r="H185" s="112"/>
      <c r="I185" s="112"/>
      <c r="J185" s="112"/>
      <c r="K185" s="112"/>
      <c r="L185" s="112"/>
      <c r="M185" s="112"/>
      <c r="N185" s="112"/>
      <c r="O185" s="1475"/>
      <c r="P185" s="112"/>
      <c r="Q185" s="119"/>
    </row>
    <row r="186" spans="1:18" ht="15.5">
      <c r="A186" s="1443"/>
      <c r="B186" s="1054"/>
      <c r="C186" s="1054"/>
      <c r="D186" s="1054"/>
      <c r="E186" s="1444"/>
      <c r="F186" s="1630"/>
      <c r="G186" s="1475"/>
      <c r="H186" s="1935"/>
      <c r="I186" s="1936"/>
      <c r="J186" s="1936"/>
      <c r="K186" s="1936"/>
      <c r="L186" s="1936"/>
      <c r="M186" s="1936"/>
      <c r="N186" s="1936"/>
      <c r="O186" s="1936"/>
      <c r="P186" s="1936"/>
      <c r="Q186" s="1937"/>
    </row>
    <row r="187" spans="1:18" ht="15.5">
      <c r="A187" s="1443"/>
      <c r="B187" s="1054"/>
      <c r="C187" s="1054"/>
      <c r="D187" s="1054"/>
      <c r="E187" s="1444"/>
      <c r="F187" s="1630"/>
      <c r="G187" s="1475"/>
      <c r="H187" s="1935"/>
      <c r="I187" s="1936"/>
      <c r="J187" s="1936"/>
      <c r="K187" s="1936"/>
      <c r="L187" s="1936"/>
      <c r="M187" s="1936"/>
      <c r="N187" s="1936"/>
      <c r="O187" s="1936"/>
      <c r="P187" s="1936"/>
      <c r="Q187" s="1937"/>
    </row>
    <row r="188" spans="1:18" ht="16" thickBot="1">
      <c r="A188" s="1462"/>
      <c r="B188" s="1463"/>
      <c r="C188" s="1463"/>
      <c r="D188" s="1463"/>
      <c r="E188" s="1466"/>
      <c r="F188" s="1631"/>
      <c r="G188" s="123"/>
      <c r="H188" s="123"/>
      <c r="I188" s="123"/>
      <c r="J188" s="123"/>
      <c r="K188" s="1529" t="s">
        <v>127</v>
      </c>
      <c r="L188" s="123"/>
      <c r="M188" s="123"/>
      <c r="N188" s="123"/>
      <c r="O188" s="123"/>
      <c r="P188" s="123"/>
      <c r="Q188" s="1481"/>
    </row>
    <row r="189" spans="1:18" ht="15.5">
      <c r="A189" s="1054"/>
      <c r="B189" s="1054"/>
      <c r="C189" s="1054"/>
      <c r="D189" s="1054"/>
      <c r="E189" s="1444"/>
      <c r="F189" s="1054"/>
      <c r="G189" s="112"/>
      <c r="H189" s="112"/>
      <c r="I189" s="112"/>
      <c r="J189" s="112"/>
      <c r="K189" s="1531"/>
      <c r="L189" s="112"/>
      <c r="M189" s="112"/>
      <c r="N189" s="112"/>
      <c r="O189" s="112"/>
      <c r="P189" s="112"/>
      <c r="Q189" s="112"/>
    </row>
    <row r="190" spans="1:18" ht="20.5" thickBot="1">
      <c r="A190" s="107" t="s">
        <v>561</v>
      </c>
      <c r="G190" s="101"/>
      <c r="H190" s="101"/>
      <c r="I190" s="101"/>
      <c r="J190" s="101"/>
      <c r="K190" s="101"/>
      <c r="L190" s="101"/>
      <c r="M190" s="101"/>
      <c r="N190" s="101"/>
      <c r="O190" s="101"/>
      <c r="P190" s="101"/>
      <c r="Q190" s="101"/>
    </row>
    <row r="191" spans="1:18" ht="18">
      <c r="A191" s="1886" t="s">
        <v>65</v>
      </c>
      <c r="B191" s="1887"/>
      <c r="C191" s="1887"/>
      <c r="D191" s="1887"/>
      <c r="E191" s="1887"/>
      <c r="F191" s="1888"/>
      <c r="G191" s="1438" t="s">
        <v>128</v>
      </c>
      <c r="H191" s="1909" t="s">
        <v>149</v>
      </c>
      <c r="I191" s="1930"/>
      <c r="J191" s="1930"/>
      <c r="K191" s="1930"/>
      <c r="L191" s="1930"/>
      <c r="M191" s="1930"/>
      <c r="N191" s="1930"/>
      <c r="O191" s="1930"/>
      <c r="P191" s="1930"/>
      <c r="Q191" s="1931"/>
    </row>
    <row r="192" spans="1:18" ht="15.5">
      <c r="A192" s="1443"/>
      <c r="B192" s="255" t="s">
        <v>546</v>
      </c>
      <c r="C192" s="998"/>
      <c r="D192" s="998"/>
      <c r="E192" s="1441"/>
      <c r="F192" s="1455"/>
      <c r="G192" s="112"/>
      <c r="H192" s="112"/>
      <c r="I192" s="112"/>
      <c r="J192" s="112"/>
      <c r="K192" s="112"/>
      <c r="L192" s="112"/>
      <c r="M192" s="112"/>
      <c r="N192" s="112"/>
      <c r="O192" s="112"/>
      <c r="P192" s="112"/>
      <c r="Q192" s="119"/>
    </row>
    <row r="193" spans="1:17" ht="16" thickBot="1">
      <c r="A193" s="1462">
        <v>171</v>
      </c>
      <c r="B193" s="1486"/>
      <c r="C193" s="1464" t="s">
        <v>561</v>
      </c>
      <c r="D193" s="1465"/>
      <c r="E193" s="1463"/>
      <c r="F193" s="1463"/>
      <c r="G193" s="1642">
        <v>0</v>
      </c>
      <c r="H193" s="1932"/>
      <c r="I193" s="1933"/>
      <c r="J193" s="1933"/>
      <c r="K193" s="1933"/>
      <c r="L193" s="1933"/>
      <c r="M193" s="1933"/>
      <c r="N193" s="1933"/>
      <c r="O193" s="1933"/>
      <c r="P193" s="1933"/>
      <c r="Q193" s="1934"/>
    </row>
    <row r="194" spans="1:17" ht="15.5">
      <c r="A194" s="1054"/>
      <c r="B194" s="1054"/>
      <c r="C194" s="1054"/>
      <c r="D194" s="1054"/>
      <c r="E194" s="1444"/>
      <c r="F194" s="1054"/>
      <c r="G194" s="112"/>
      <c r="H194" s="112"/>
      <c r="I194" s="112"/>
      <c r="J194" s="112"/>
      <c r="K194" s="1531"/>
      <c r="L194" s="112"/>
      <c r="M194" s="112"/>
      <c r="N194" s="112"/>
      <c r="O194" s="112"/>
      <c r="P194" s="112"/>
      <c r="Q194" s="112"/>
    </row>
    <row r="195" spans="1:17" ht="15.5">
      <c r="A195" s="1054"/>
      <c r="B195" s="1054"/>
      <c r="C195" s="1054"/>
      <c r="D195" s="1054"/>
      <c r="E195" s="1444"/>
      <c r="F195" s="1054"/>
      <c r="G195" s="112"/>
      <c r="H195" s="112"/>
      <c r="I195" s="112"/>
      <c r="J195" s="112"/>
      <c r="K195" s="1531"/>
      <c r="L195" s="112"/>
      <c r="M195" s="112"/>
      <c r="N195" s="112"/>
      <c r="O195" s="112"/>
      <c r="P195" s="112"/>
      <c r="Q195" s="112"/>
    </row>
    <row r="196" spans="1:17" ht="15.5">
      <c r="A196" s="1054"/>
      <c r="B196" s="1054"/>
      <c r="C196" s="1054"/>
      <c r="D196" s="1054"/>
      <c r="E196" s="1444"/>
      <c r="F196" s="1054"/>
      <c r="G196" s="112"/>
      <c r="H196" s="112"/>
      <c r="I196" s="112"/>
      <c r="J196" s="112"/>
      <c r="K196" s="1531"/>
      <c r="L196" s="112"/>
      <c r="M196" s="112"/>
      <c r="N196" s="112"/>
      <c r="O196" s="112"/>
      <c r="P196" s="112"/>
      <c r="Q196" s="112"/>
    </row>
    <row r="197" spans="1:17">
      <c r="G197" s="101"/>
      <c r="H197" s="101"/>
      <c r="I197" s="101"/>
      <c r="J197" s="101"/>
      <c r="K197" s="101"/>
      <c r="L197" s="101"/>
      <c r="M197" s="101"/>
      <c r="N197" s="101"/>
      <c r="O197" s="101"/>
      <c r="P197" s="101"/>
      <c r="Q197" s="101"/>
    </row>
    <row r="198" spans="1:17" ht="20.5" thickBot="1">
      <c r="A198" s="107" t="s">
        <v>150</v>
      </c>
      <c r="G198" s="101"/>
      <c r="H198" s="101"/>
      <c r="I198" s="101"/>
      <c r="J198" s="101"/>
      <c r="K198" s="101"/>
      <c r="L198" s="101"/>
      <c r="M198" s="101"/>
      <c r="N198" s="101"/>
      <c r="O198" s="101"/>
      <c r="P198" s="101"/>
      <c r="Q198" s="101"/>
    </row>
    <row r="199" spans="1:17" ht="18">
      <c r="A199" s="1886" t="s">
        <v>65</v>
      </c>
      <c r="B199" s="1887"/>
      <c r="C199" s="1887"/>
      <c r="D199" s="1887"/>
      <c r="E199" s="1887"/>
      <c r="F199" s="1888"/>
      <c r="G199" s="1438" t="s">
        <v>564</v>
      </c>
      <c r="H199" s="1909" t="s">
        <v>149</v>
      </c>
      <c r="I199" s="1930"/>
      <c r="J199" s="1930"/>
      <c r="K199" s="1930"/>
      <c r="L199" s="1930"/>
      <c r="M199" s="1930"/>
      <c r="N199" s="1930"/>
      <c r="O199" s="1930"/>
      <c r="P199" s="1930"/>
      <c r="Q199" s="1931"/>
    </row>
    <row r="200" spans="1:17" ht="15.5">
      <c r="A200" s="1443"/>
      <c r="B200" s="255" t="s">
        <v>151</v>
      </c>
      <c r="C200" s="998"/>
      <c r="D200" s="998"/>
      <c r="E200" s="1441"/>
      <c r="F200" s="1455"/>
      <c r="G200" s="112"/>
      <c r="H200" s="112"/>
      <c r="I200" s="112"/>
      <c r="J200" s="112"/>
      <c r="K200" s="112"/>
      <c r="L200" s="112"/>
      <c r="M200" s="112"/>
      <c r="N200" s="112"/>
      <c r="O200" s="112"/>
      <c r="P200" s="112"/>
      <c r="Q200" s="119"/>
    </row>
    <row r="201" spans="1:17" ht="16" thickBot="1">
      <c r="A201" s="1462">
        <v>173</v>
      </c>
      <c r="B201" s="1486"/>
      <c r="C201" s="1464" t="s">
        <v>564</v>
      </c>
      <c r="D201" s="1465"/>
      <c r="E201" s="1466" t="s">
        <v>1001</v>
      </c>
      <c r="F201" s="1500" t="s">
        <v>449</v>
      </c>
      <c r="G201" s="1643">
        <v>5829</v>
      </c>
      <c r="H201" s="1932" t="s">
        <v>2150</v>
      </c>
      <c r="I201" s="1933"/>
      <c r="J201" s="1933"/>
      <c r="K201" s="1933"/>
      <c r="L201" s="1933"/>
      <c r="M201" s="1933"/>
      <c r="N201" s="1933"/>
      <c r="O201" s="1933"/>
      <c r="P201" s="1933"/>
      <c r="Q201" s="1934"/>
    </row>
    <row r="202" spans="1:17">
      <c r="G202" s="101"/>
      <c r="H202" s="101"/>
      <c r="I202" s="101"/>
      <c r="J202" s="101"/>
      <c r="K202" s="101"/>
      <c r="L202" s="101"/>
      <c r="M202" s="101"/>
      <c r="N202" s="101"/>
      <c r="O202" s="101"/>
      <c r="P202" s="101"/>
      <c r="Q202" s="101"/>
    </row>
    <row r="203" spans="1:17">
      <c r="G203" s="101"/>
      <c r="H203" s="101"/>
      <c r="I203" s="101"/>
      <c r="J203" s="101"/>
      <c r="K203" s="101"/>
      <c r="L203" s="101"/>
      <c r="M203" s="101"/>
      <c r="N203" s="101"/>
      <c r="O203" s="101"/>
      <c r="P203" s="101"/>
      <c r="Q203" s="101"/>
    </row>
    <row r="204" spans="1:17" ht="20.5" thickBot="1">
      <c r="A204" s="107" t="s">
        <v>152</v>
      </c>
      <c r="G204" s="101"/>
      <c r="H204" s="101"/>
      <c r="I204" s="101"/>
      <c r="J204" s="101"/>
      <c r="K204" s="101"/>
      <c r="L204" s="101"/>
      <c r="M204" s="101"/>
      <c r="N204" s="101"/>
      <c r="O204" s="101"/>
      <c r="P204" s="101"/>
      <c r="Q204" s="101"/>
    </row>
    <row r="205" spans="1:17" ht="18">
      <c r="A205" s="1426"/>
      <c r="B205" s="1427"/>
      <c r="C205" s="115" t="s">
        <v>153</v>
      </c>
      <c r="D205" s="115" t="s">
        <v>154</v>
      </c>
      <c r="E205" s="115" t="s">
        <v>155</v>
      </c>
      <c r="F205" s="115" t="s">
        <v>156</v>
      </c>
      <c r="G205" s="1922" t="s">
        <v>157</v>
      </c>
      <c r="H205" s="1885"/>
      <c r="I205" s="1884" t="s">
        <v>158</v>
      </c>
      <c r="J205" s="1885"/>
      <c r="K205" s="1884" t="s">
        <v>159</v>
      </c>
      <c r="L205" s="1885"/>
      <c r="M205" s="1644"/>
      <c r="N205" s="1644"/>
      <c r="O205" s="1644"/>
      <c r="P205" s="1644"/>
      <c r="Q205" s="1645"/>
    </row>
    <row r="206" spans="1:17" ht="15.5">
      <c r="A206" s="1443"/>
      <c r="B206" s="1453"/>
      <c r="C206" s="1054" t="s">
        <v>160</v>
      </c>
      <c r="D206" s="1054"/>
      <c r="E206" s="1646"/>
      <c r="F206" s="1646"/>
      <c r="G206" s="1923">
        <v>0</v>
      </c>
      <c r="H206" s="1924"/>
      <c r="I206" s="1925">
        <v>0</v>
      </c>
      <c r="J206" s="1924"/>
      <c r="K206" s="1925">
        <v>0</v>
      </c>
      <c r="L206" s="1924"/>
      <c r="M206" s="1647"/>
      <c r="N206" s="1647"/>
      <c r="O206" s="1647"/>
      <c r="P206" s="1647"/>
      <c r="Q206" s="1648"/>
    </row>
    <row r="207" spans="1:17" ht="15.5">
      <c r="A207" s="1443"/>
      <c r="B207" s="1054"/>
      <c r="C207" s="1054"/>
      <c r="D207" s="1054"/>
      <c r="E207" s="1646"/>
      <c r="F207" s="1646"/>
      <c r="G207" s="1926"/>
      <c r="H207" s="1927"/>
      <c r="I207" s="1928"/>
      <c r="J207" s="1927"/>
      <c r="K207" s="1928"/>
      <c r="L207" s="1929"/>
      <c r="M207" s="1430"/>
      <c r="N207" s="1430"/>
      <c r="O207" s="1430"/>
      <c r="P207" s="1430"/>
      <c r="Q207" s="1649"/>
    </row>
    <row r="208" spans="1:17" ht="15.5">
      <c r="A208" s="1443"/>
      <c r="B208" s="1054"/>
      <c r="C208" s="1054"/>
      <c r="D208" s="1054"/>
      <c r="E208" s="1646"/>
      <c r="F208" s="1646"/>
      <c r="G208" s="1650"/>
      <c r="H208" s="1429"/>
      <c r="I208" s="1651"/>
      <c r="J208" s="1430"/>
      <c r="K208" s="1651"/>
      <c r="L208" s="1430"/>
      <c r="M208" s="1430"/>
      <c r="N208" s="1430"/>
      <c r="O208" s="1430"/>
      <c r="P208" s="1430"/>
      <c r="Q208" s="1649"/>
    </row>
    <row r="209" spans="1:17" ht="16" thickBot="1">
      <c r="A209" s="1462"/>
      <c r="B209" s="1463"/>
      <c r="C209" s="1463" t="s">
        <v>59</v>
      </c>
      <c r="D209" s="1463"/>
      <c r="E209" s="1466"/>
      <c r="F209" s="1463"/>
      <c r="G209" s="1899">
        <v>0</v>
      </c>
      <c r="H209" s="1900"/>
      <c r="I209" s="1901">
        <v>0</v>
      </c>
      <c r="J209" s="1900"/>
      <c r="K209" s="1901">
        <v>0</v>
      </c>
      <c r="L209" s="1900"/>
      <c r="M209" s="1652"/>
      <c r="N209" s="1652"/>
      <c r="O209" s="1652"/>
      <c r="P209" s="1652"/>
      <c r="Q209" s="1653"/>
    </row>
    <row r="210" spans="1:17">
      <c r="G210" s="101"/>
      <c r="H210" s="101"/>
      <c r="I210" s="101"/>
      <c r="J210" s="101"/>
      <c r="K210" s="101"/>
      <c r="L210" s="101"/>
      <c r="M210" s="101"/>
      <c r="N210" s="101"/>
      <c r="O210" s="101"/>
      <c r="P210" s="101"/>
      <c r="Q210" s="101"/>
    </row>
    <row r="211" spans="1:17">
      <c r="G211" s="101"/>
      <c r="H211" s="101"/>
      <c r="I211" s="101"/>
      <c r="J211" s="101"/>
      <c r="K211" s="101"/>
      <c r="L211" s="101"/>
      <c r="M211" s="101"/>
      <c r="N211" s="101"/>
      <c r="O211" s="101"/>
      <c r="P211" s="101"/>
      <c r="Q211" s="101"/>
    </row>
    <row r="212" spans="1:17" ht="20.5" thickBot="1">
      <c r="A212" s="116" t="s">
        <v>1167</v>
      </c>
      <c r="B212" s="117"/>
      <c r="C212" s="117"/>
      <c r="G212" s="101"/>
      <c r="H212" s="101"/>
      <c r="I212" s="101"/>
      <c r="J212" s="101"/>
      <c r="K212" s="101"/>
      <c r="L212" s="101"/>
      <c r="M212" s="101"/>
      <c r="N212" s="101"/>
      <c r="O212" s="101"/>
      <c r="P212" s="101"/>
      <c r="Q212" s="101"/>
    </row>
    <row r="213" spans="1:17" ht="18">
      <c r="A213" s="1886" t="s">
        <v>65</v>
      </c>
      <c r="B213" s="1887"/>
      <c r="C213" s="1887"/>
      <c r="D213" s="1887"/>
      <c r="E213" s="1887"/>
      <c r="F213" s="1888"/>
      <c r="G213" s="1654"/>
      <c r="H213" s="1654"/>
      <c r="I213" s="1654"/>
      <c r="J213" s="1654"/>
      <c r="K213" s="1654"/>
      <c r="L213" s="1654"/>
      <c r="M213" s="1654"/>
      <c r="N213" s="1654"/>
      <c r="O213" s="1654"/>
      <c r="P213" s="1654"/>
      <c r="Q213" s="1654"/>
    </row>
    <row r="214" spans="1:17">
      <c r="A214" s="118" t="s">
        <v>9</v>
      </c>
      <c r="B214" s="112" t="s">
        <v>161</v>
      </c>
      <c r="C214" s="112"/>
      <c r="D214" s="112" t="s">
        <v>162</v>
      </c>
      <c r="E214" s="982">
        <v>616472.36</v>
      </c>
      <c r="F214" s="119"/>
      <c r="G214" s="1654"/>
      <c r="H214" s="1654"/>
      <c r="I214" s="1654"/>
      <c r="J214" s="1654"/>
      <c r="K214" s="1654"/>
      <c r="L214" s="1654"/>
      <c r="M214" s="1654"/>
      <c r="N214" s="1654"/>
      <c r="O214" s="1654"/>
      <c r="P214" s="1654"/>
      <c r="Q214" s="1654"/>
    </row>
    <row r="215" spans="1:17">
      <c r="A215" s="118" t="s">
        <v>10</v>
      </c>
      <c r="B215" s="112" t="s">
        <v>163</v>
      </c>
      <c r="C215" s="112"/>
      <c r="D215" s="112" t="s">
        <v>162</v>
      </c>
      <c r="E215" s="289">
        <v>60</v>
      </c>
      <c r="F215" s="119"/>
      <c r="G215" s="1654"/>
      <c r="H215" s="1654"/>
      <c r="I215" s="1654"/>
      <c r="J215" s="1654"/>
      <c r="K215" s="1654"/>
      <c r="L215" s="1654"/>
      <c r="M215" s="1654"/>
      <c r="N215" s="1654"/>
      <c r="O215" s="1654"/>
      <c r="P215" s="1654"/>
      <c r="Q215" s="1654"/>
    </row>
    <row r="216" spans="1:17">
      <c r="A216" s="118" t="s">
        <v>11</v>
      </c>
      <c r="B216" s="112" t="s">
        <v>1168</v>
      </c>
      <c r="C216" s="112"/>
      <c r="D216" s="112" t="s">
        <v>164</v>
      </c>
      <c r="E216" s="1655">
        <f>+E214/E215</f>
        <v>10274.539333333332</v>
      </c>
      <c r="F216" s="119"/>
      <c r="G216" s="1654"/>
      <c r="H216" s="1654"/>
      <c r="I216" s="1654"/>
      <c r="J216" s="1654"/>
      <c r="K216" s="1654"/>
      <c r="L216" s="1654"/>
      <c r="M216" s="1654"/>
      <c r="N216" s="1654"/>
      <c r="O216" s="1654"/>
      <c r="P216" s="1654"/>
      <c r="Q216" s="1654"/>
    </row>
    <row r="217" spans="1:17">
      <c r="A217" s="118" t="s">
        <v>14</v>
      </c>
      <c r="B217" s="112" t="s">
        <v>165</v>
      </c>
      <c r="C217" s="112"/>
      <c r="D217" s="112"/>
      <c r="E217" s="983">
        <v>12</v>
      </c>
      <c r="F217" s="119"/>
      <c r="G217" s="1654"/>
      <c r="H217" s="1654"/>
      <c r="I217" s="1654"/>
      <c r="J217" s="1654"/>
      <c r="K217" s="1654"/>
      <c r="L217" s="1654"/>
      <c r="M217" s="1654"/>
      <c r="N217" s="1654"/>
      <c r="O217" s="1654"/>
      <c r="P217" s="1654"/>
      <c r="Q217" s="1654"/>
    </row>
    <row r="218" spans="1:17">
      <c r="A218" s="118" t="s">
        <v>166</v>
      </c>
      <c r="B218" s="112" t="s">
        <v>1502</v>
      </c>
      <c r="C218" s="112"/>
      <c r="D218" s="112" t="s">
        <v>167</v>
      </c>
      <c r="E218" s="982">
        <f>+E216*E217</f>
        <v>123294.47199999998</v>
      </c>
      <c r="F218" s="120" t="s">
        <v>168</v>
      </c>
      <c r="G218" s="1654"/>
      <c r="H218" s="1654"/>
      <c r="I218" s="1654"/>
      <c r="J218" s="1654"/>
      <c r="K218" s="1654"/>
      <c r="L218" s="1654"/>
      <c r="M218" s="1654"/>
      <c r="N218" s="1654"/>
      <c r="O218" s="1654"/>
      <c r="P218" s="1654"/>
      <c r="Q218" s="1654"/>
    </row>
    <row r="219" spans="1:17">
      <c r="A219" s="118" t="s">
        <v>169</v>
      </c>
      <c r="B219" s="112" t="s">
        <v>170</v>
      </c>
      <c r="C219" s="112"/>
      <c r="D219" s="112"/>
      <c r="E219" s="982">
        <f>19179.14+(E216*24)</f>
        <v>265768.08399999997</v>
      </c>
      <c r="F219" s="120"/>
      <c r="G219" s="1654"/>
      <c r="H219" s="1654"/>
      <c r="I219" s="1654"/>
      <c r="J219" s="1654"/>
      <c r="K219" s="1654"/>
      <c r="L219" s="1654"/>
      <c r="M219" s="1654"/>
      <c r="N219" s="1654"/>
      <c r="O219" s="1654"/>
      <c r="P219" s="1654"/>
      <c r="Q219" s="1654"/>
    </row>
    <row r="220" spans="1:17" ht="14.5" thickBot="1">
      <c r="A220" s="121" t="s">
        <v>171</v>
      </c>
      <c r="B220" s="122" t="s">
        <v>172</v>
      </c>
      <c r="C220" s="123"/>
      <c r="D220" s="122" t="s">
        <v>173</v>
      </c>
      <c r="E220" s="984">
        <f>+E214-E218-E219</f>
        <v>227409.80400000006</v>
      </c>
      <c r="F220" s="124"/>
      <c r="G220" s="1654"/>
      <c r="H220" s="1656"/>
      <c r="I220" s="1654"/>
      <c r="J220" s="1654"/>
      <c r="K220" s="1654"/>
      <c r="L220" s="1654"/>
      <c r="M220" s="1654"/>
      <c r="N220" s="1654"/>
      <c r="O220" s="1654"/>
      <c r="P220" s="1654"/>
      <c r="Q220" s="1654"/>
    </row>
    <row r="221" spans="1:17">
      <c r="G221" s="1654"/>
      <c r="H221" s="1654"/>
      <c r="I221" s="1654"/>
      <c r="J221" s="1654"/>
      <c r="K221" s="1654"/>
      <c r="L221" s="1654"/>
      <c r="M221" s="1654"/>
      <c r="N221" s="1654"/>
      <c r="O221" s="1654"/>
      <c r="P221" s="1654"/>
      <c r="Q221" s="1654"/>
    </row>
    <row r="222" spans="1:17" ht="20.5" thickBot="1">
      <c r="A222" s="116" t="s">
        <v>174</v>
      </c>
      <c r="B222" s="117"/>
      <c r="C222" s="117"/>
      <c r="G222" s="1654"/>
      <c r="H222" s="1654"/>
      <c r="I222" s="1654"/>
      <c r="J222" s="1654"/>
      <c r="K222" s="1654"/>
      <c r="L222" s="1654"/>
      <c r="M222" s="1654"/>
      <c r="N222" s="1654"/>
      <c r="O222" s="1654"/>
      <c r="P222" s="1654"/>
      <c r="Q222" s="1654"/>
    </row>
    <row r="223" spans="1:17" ht="18">
      <c r="A223" s="1886" t="s">
        <v>65</v>
      </c>
      <c r="B223" s="1887"/>
      <c r="C223" s="1887"/>
      <c r="D223" s="1887"/>
      <c r="E223" s="1887"/>
      <c r="F223" s="1888"/>
      <c r="G223" s="1654"/>
      <c r="H223" s="1654"/>
      <c r="I223" s="1654"/>
      <c r="J223" s="1654"/>
      <c r="K223" s="1654"/>
      <c r="L223" s="1654"/>
      <c r="M223" s="1654"/>
      <c r="N223" s="1654"/>
      <c r="O223" s="1654"/>
      <c r="P223" s="1654"/>
      <c r="Q223" s="1654"/>
    </row>
    <row r="224" spans="1:17">
      <c r="A224" s="125"/>
      <c r="B224" s="126"/>
      <c r="C224" s="126"/>
      <c r="D224" s="127" t="s">
        <v>175</v>
      </c>
      <c r="E224" s="128" t="s">
        <v>176</v>
      </c>
      <c r="F224" s="129" t="s">
        <v>59</v>
      </c>
      <c r="G224" s="1654"/>
      <c r="H224" s="1654"/>
      <c r="I224" s="1654"/>
      <c r="J224" s="1654"/>
      <c r="K224" s="1654"/>
      <c r="L224" s="1654"/>
      <c r="M224" s="1654"/>
      <c r="N224" s="1654"/>
      <c r="O224" s="1654"/>
      <c r="P224" s="1654"/>
      <c r="Q224" s="1654"/>
    </row>
    <row r="225" spans="1:17">
      <c r="A225" s="125" t="s">
        <v>177</v>
      </c>
      <c r="B225" s="126"/>
      <c r="C225" s="126" t="s">
        <v>178</v>
      </c>
      <c r="D225" s="130">
        <v>9750649</v>
      </c>
      <c r="E225" s="130">
        <v>12725412</v>
      </c>
      <c r="F225" s="131">
        <v>22476061</v>
      </c>
      <c r="G225" s="1654"/>
      <c r="H225" s="1654"/>
      <c r="I225" s="1654"/>
      <c r="J225" s="1654"/>
      <c r="K225" s="1654"/>
      <c r="L225" s="1654"/>
      <c r="M225" s="1654"/>
      <c r="N225" s="1654"/>
      <c r="O225" s="1654"/>
      <c r="P225" s="1654"/>
      <c r="Q225" s="1654"/>
    </row>
    <row r="226" spans="1:17">
      <c r="A226" s="125" t="s">
        <v>177</v>
      </c>
      <c r="B226" s="126"/>
      <c r="C226" s="126" t="s">
        <v>179</v>
      </c>
      <c r="D226" s="132">
        <v>14666395</v>
      </c>
      <c r="E226" s="133">
        <v>16524210</v>
      </c>
      <c r="F226" s="131">
        <v>31190605</v>
      </c>
      <c r="G226" s="1654"/>
      <c r="H226" s="1654"/>
      <c r="I226" s="1654"/>
      <c r="J226" s="1654"/>
      <c r="K226" s="1654"/>
      <c r="L226" s="1654"/>
      <c r="M226" s="1654"/>
      <c r="N226" s="1654"/>
      <c r="O226" s="1654"/>
      <c r="P226" s="1654"/>
      <c r="Q226" s="1654"/>
    </row>
    <row r="227" spans="1:17">
      <c r="A227" s="125" t="s">
        <v>177</v>
      </c>
      <c r="B227" s="126"/>
      <c r="C227" s="134" t="s">
        <v>180</v>
      </c>
      <c r="D227" s="135">
        <v>12208522</v>
      </c>
      <c r="E227" s="136">
        <v>14624812</v>
      </c>
      <c r="F227" s="137">
        <v>26833334</v>
      </c>
      <c r="G227" s="1654"/>
      <c r="H227" s="1654"/>
      <c r="I227" s="1654"/>
      <c r="J227" s="1654"/>
      <c r="K227" s="1654"/>
      <c r="L227" s="1654"/>
      <c r="M227" s="1654"/>
      <c r="N227" s="1654"/>
      <c r="O227" s="1654"/>
      <c r="P227" s="1654"/>
      <c r="Q227" s="1654"/>
    </row>
    <row r="228" spans="1:17" ht="14.5" thickBot="1">
      <c r="A228" s="138"/>
      <c r="B228" s="139"/>
      <c r="C228" s="140" t="s">
        <v>59</v>
      </c>
      <c r="D228" s="141">
        <v>36625566</v>
      </c>
      <c r="E228" s="142">
        <v>43874434</v>
      </c>
      <c r="F228" s="143">
        <v>80500000</v>
      </c>
      <c r="G228" s="1654"/>
      <c r="H228" s="1654"/>
      <c r="I228" s="1654"/>
      <c r="J228" s="1654"/>
      <c r="K228" s="1654"/>
      <c r="L228" s="1654"/>
      <c r="M228" s="1654"/>
      <c r="N228" s="1654"/>
      <c r="O228" s="1654"/>
      <c r="P228" s="1654"/>
      <c r="Q228" s="1654"/>
    </row>
    <row r="229" spans="1:17">
      <c r="G229" s="1654"/>
      <c r="H229" s="1654"/>
      <c r="I229" s="1654"/>
      <c r="J229" s="1654"/>
      <c r="K229" s="1654"/>
      <c r="L229" s="1654"/>
      <c r="M229" s="1654"/>
      <c r="N229" s="1654"/>
      <c r="O229" s="1654"/>
      <c r="P229" s="1654"/>
      <c r="Q229" s="1654"/>
    </row>
    <row r="230" spans="1:17">
      <c r="G230" s="1654"/>
      <c r="H230" s="1654"/>
      <c r="I230" s="1654"/>
      <c r="J230" s="1654"/>
      <c r="K230" s="1654"/>
      <c r="L230" s="1654"/>
      <c r="M230" s="1654"/>
      <c r="N230" s="1654"/>
      <c r="O230" s="1654"/>
      <c r="P230" s="1654"/>
      <c r="Q230" s="1654"/>
    </row>
    <row r="231" spans="1:17" ht="20.5" thickBot="1">
      <c r="A231" s="144" t="s">
        <v>181</v>
      </c>
      <c r="B231" s="145"/>
      <c r="C231" s="145"/>
      <c r="D231" s="1527"/>
      <c r="E231" s="1527"/>
      <c r="F231" s="1527"/>
      <c r="G231" s="1657"/>
      <c r="H231" s="1657"/>
      <c r="I231" s="1657"/>
      <c r="J231" s="1657"/>
      <c r="K231" s="1657"/>
      <c r="L231" s="1657"/>
      <c r="M231" s="1657"/>
      <c r="N231" s="1657"/>
      <c r="O231" s="1657"/>
      <c r="P231" s="1657"/>
      <c r="Q231" s="1657"/>
    </row>
    <row r="232" spans="1:17" ht="18">
      <c r="A232" s="1902" t="s">
        <v>65</v>
      </c>
      <c r="B232" s="1903"/>
      <c r="C232" s="1903"/>
      <c r="D232" s="1903"/>
      <c r="E232" s="1903"/>
      <c r="F232" s="1903"/>
      <c r="G232" s="1658"/>
      <c r="H232" s="1658"/>
      <c r="I232" s="1658"/>
      <c r="J232" s="1658"/>
      <c r="K232" s="1658"/>
      <c r="L232" s="1658"/>
      <c r="M232" s="1658"/>
      <c r="N232" s="1658"/>
      <c r="O232" s="1658"/>
      <c r="P232" s="1658"/>
      <c r="Q232" s="1659"/>
    </row>
    <row r="233" spans="1:17">
      <c r="A233" s="146" t="s">
        <v>182</v>
      </c>
      <c r="B233" s="147"/>
      <c r="C233" s="147"/>
      <c r="D233" s="148">
        <v>-2617572</v>
      </c>
      <c r="E233" s="1894" t="s">
        <v>183</v>
      </c>
      <c r="F233" s="1895"/>
      <c r="G233" s="1895"/>
      <c r="H233" s="1895"/>
      <c r="I233" s="1895"/>
      <c r="J233" s="1895"/>
      <c r="K233" s="1895"/>
      <c r="L233" s="1895"/>
      <c r="M233" s="1895"/>
      <c r="N233" s="1895"/>
      <c r="O233" s="1895"/>
      <c r="P233" s="1895"/>
      <c r="Q233" s="1896"/>
    </row>
    <row r="234" spans="1:17">
      <c r="A234" s="146"/>
      <c r="B234" s="147"/>
      <c r="C234" s="147"/>
      <c r="D234" s="1660"/>
      <c r="E234" s="1895"/>
      <c r="F234" s="1895"/>
      <c r="G234" s="1895"/>
      <c r="H234" s="1895"/>
      <c r="I234" s="1895"/>
      <c r="J234" s="1895"/>
      <c r="K234" s="1895"/>
      <c r="L234" s="1895"/>
      <c r="M234" s="1895"/>
      <c r="N234" s="1895"/>
      <c r="O234" s="1895"/>
      <c r="P234" s="1895"/>
      <c r="Q234" s="1896"/>
    </row>
    <row r="235" spans="1:17">
      <c r="A235" s="1524"/>
      <c r="B235" s="147"/>
      <c r="C235" s="147"/>
      <c r="D235" s="1660"/>
      <c r="E235" s="1895"/>
      <c r="F235" s="1895"/>
      <c r="G235" s="1895"/>
      <c r="H235" s="1895"/>
      <c r="I235" s="1895"/>
      <c r="J235" s="1895"/>
      <c r="K235" s="1895"/>
      <c r="L235" s="1895"/>
      <c r="M235" s="1895"/>
      <c r="N235" s="1895"/>
      <c r="O235" s="1895"/>
      <c r="P235" s="1895"/>
      <c r="Q235" s="1896"/>
    </row>
    <row r="236" spans="1:17">
      <c r="A236" s="146"/>
      <c r="B236" s="147"/>
      <c r="C236" s="147"/>
      <c r="D236" s="1660"/>
      <c r="E236" s="1895"/>
      <c r="F236" s="1895"/>
      <c r="G236" s="1895"/>
      <c r="H236" s="1895"/>
      <c r="I236" s="1895"/>
      <c r="J236" s="1895"/>
      <c r="K236" s="1895"/>
      <c r="L236" s="1895"/>
      <c r="M236" s="1895"/>
      <c r="N236" s="1895"/>
      <c r="O236" s="1895"/>
      <c r="P236" s="1895"/>
      <c r="Q236" s="1896"/>
    </row>
    <row r="237" spans="1:17">
      <c r="A237" s="146"/>
      <c r="B237" s="147"/>
      <c r="C237" s="147"/>
      <c r="D237" s="1660"/>
      <c r="E237" s="1895"/>
      <c r="F237" s="1895"/>
      <c r="G237" s="1895"/>
      <c r="H237" s="1895"/>
      <c r="I237" s="1895"/>
      <c r="J237" s="1895"/>
      <c r="K237" s="1895"/>
      <c r="L237" s="1895"/>
      <c r="M237" s="1895"/>
      <c r="N237" s="1895"/>
      <c r="O237" s="1895"/>
      <c r="P237" s="1895"/>
      <c r="Q237" s="1896"/>
    </row>
    <row r="238" spans="1:17" ht="14.5" thickBot="1">
      <c r="A238" s="1608"/>
      <c r="B238" s="1479"/>
      <c r="C238" s="1479"/>
      <c r="D238" s="1479"/>
      <c r="E238" s="1897"/>
      <c r="F238" s="1897"/>
      <c r="G238" s="1897"/>
      <c r="H238" s="1897"/>
      <c r="I238" s="1897"/>
      <c r="J238" s="1897"/>
      <c r="K238" s="1897"/>
      <c r="L238" s="1897"/>
      <c r="M238" s="1897"/>
      <c r="N238" s="1897"/>
      <c r="O238" s="1897"/>
      <c r="P238" s="1897"/>
      <c r="Q238" s="1898"/>
    </row>
    <row r="239" spans="1:17" ht="14.5" thickBot="1">
      <c r="G239" s="1654"/>
      <c r="H239" s="1654"/>
      <c r="I239" s="1654"/>
      <c r="J239" s="1654"/>
      <c r="K239" s="1654"/>
      <c r="L239" s="1654"/>
      <c r="M239" s="1654"/>
      <c r="N239" s="1654"/>
      <c r="O239" s="1654"/>
      <c r="P239" s="1654"/>
      <c r="Q239" s="1654"/>
    </row>
    <row r="240" spans="1:17" ht="18.5" thickBot="1">
      <c r="A240" s="1904" t="s">
        <v>1173</v>
      </c>
      <c r="B240" s="1905"/>
      <c r="C240" s="1905"/>
      <c r="D240" s="1905"/>
      <c r="E240" s="1905"/>
      <c r="F240" s="1906"/>
      <c r="G240" s="1438"/>
      <c r="H240" s="1438"/>
      <c r="I240" s="1438"/>
      <c r="J240" s="1438"/>
      <c r="K240" s="1661"/>
      <c r="L240" s="1661"/>
      <c r="M240" s="1661"/>
      <c r="N240" s="1661"/>
      <c r="O240" s="1661"/>
      <c r="P240" s="1662"/>
    </row>
    <row r="241" spans="1:20" ht="37.5" customHeight="1">
      <c r="A241" s="1886"/>
      <c r="B241" s="1887"/>
      <c r="C241" s="1887" t="s">
        <v>1174</v>
      </c>
      <c r="D241" s="1887"/>
      <c r="E241" s="1887"/>
      <c r="F241" s="1888"/>
      <c r="G241" s="1437" t="s">
        <v>1175</v>
      </c>
      <c r="H241" s="1438" t="s">
        <v>1176</v>
      </c>
      <c r="I241" s="1433" t="s">
        <v>1958</v>
      </c>
      <c r="J241" s="1661"/>
      <c r="K241" s="1661"/>
      <c r="L241" s="1661"/>
      <c r="M241" s="1661"/>
      <c r="N241" s="1661"/>
      <c r="O241" s="1661"/>
      <c r="P241" s="1662"/>
    </row>
    <row r="242" spans="1:20" ht="15.5">
      <c r="A242" s="1613"/>
      <c r="B242" s="1530"/>
      <c r="C242" s="1530"/>
      <c r="D242" s="1663"/>
      <c r="E242" s="1530"/>
      <c r="F242" s="1474"/>
      <c r="G242" s="1700"/>
      <c r="H242" s="1665"/>
      <c r="I242" s="112"/>
      <c r="J242" s="112"/>
      <c r="K242" s="112"/>
      <c r="L242" s="112"/>
      <c r="M242" s="112"/>
      <c r="N242" s="112"/>
      <c r="O242" s="112"/>
      <c r="P242" s="119"/>
    </row>
    <row r="243" spans="1:20" ht="15.75" customHeight="1">
      <c r="A243" s="1443">
        <v>6</v>
      </c>
      <c r="B243" s="1054"/>
      <c r="C243" s="1000" t="s">
        <v>186</v>
      </c>
      <c r="D243" s="1663"/>
      <c r="E243" s="1530"/>
      <c r="F243" s="1474" t="s">
        <v>1177</v>
      </c>
      <c r="G243" s="1701">
        <v>11276039313</v>
      </c>
      <c r="H243" s="1702">
        <f>76000000+76000000+40685+35377798</f>
        <v>187418483</v>
      </c>
      <c r="I243" s="1666">
        <f>+G243-H243</f>
        <v>11088620830</v>
      </c>
      <c r="J243" s="1703" t="s">
        <v>2139</v>
      </c>
      <c r="K243" s="1449"/>
      <c r="L243" s="1449"/>
      <c r="M243" s="1449"/>
      <c r="N243" s="1449"/>
      <c r="O243" s="1449"/>
      <c r="P243" s="1667"/>
      <c r="Q243" s="1668"/>
    </row>
    <row r="244" spans="1:20" ht="15.5">
      <c r="A244" s="1443">
        <v>9</v>
      </c>
      <c r="B244" s="1054"/>
      <c r="C244" s="1000" t="s">
        <v>187</v>
      </c>
      <c r="D244" s="1663"/>
      <c r="E244" s="1530"/>
      <c r="F244" s="1474" t="s">
        <v>1178</v>
      </c>
      <c r="G244" s="1701">
        <v>3681441331</v>
      </c>
      <c r="H244" s="1702"/>
      <c r="I244" s="1666">
        <f t="shared" ref="I244:I248" si="17">+G244-H244</f>
        <v>3681441331</v>
      </c>
      <c r="J244" s="1704"/>
      <c r="K244" s="112"/>
      <c r="L244" s="112"/>
      <c r="M244" s="112"/>
      <c r="N244" s="112"/>
      <c r="O244" s="112"/>
      <c r="P244" s="119"/>
    </row>
    <row r="245" spans="1:20" ht="27" customHeight="1">
      <c r="A245" s="1443">
        <v>10</v>
      </c>
      <c r="B245" s="150"/>
      <c r="C245" s="1000" t="s">
        <v>188</v>
      </c>
      <c r="D245" s="979"/>
      <c r="E245" s="150"/>
      <c r="F245" s="1474" t="s">
        <v>1179</v>
      </c>
      <c r="G245" s="1701">
        <v>262468746</v>
      </c>
      <c r="H245" s="1702">
        <f>76000000+76000000+40683+10786929</f>
        <v>162827612</v>
      </c>
      <c r="I245" s="1666">
        <f t="shared" si="17"/>
        <v>99641134</v>
      </c>
      <c r="J245" s="1907" t="s">
        <v>2140</v>
      </c>
      <c r="K245" s="1907"/>
      <c r="L245" s="1907"/>
      <c r="M245" s="1907"/>
      <c r="N245" s="1907"/>
      <c r="O245" s="1907"/>
      <c r="P245" s="1908"/>
      <c r="Q245" s="1668"/>
    </row>
    <row r="246" spans="1:20" ht="18">
      <c r="A246" s="1443">
        <v>19</v>
      </c>
      <c r="B246" s="150"/>
      <c r="C246" s="1000" t="s">
        <v>401</v>
      </c>
      <c r="D246" s="979"/>
      <c r="E246" s="150"/>
      <c r="F246" s="1474" t="s">
        <v>1180</v>
      </c>
      <c r="G246" s="1701">
        <v>1940901730</v>
      </c>
      <c r="H246" s="1702">
        <v>76000000</v>
      </c>
      <c r="I246" s="1666">
        <f t="shared" si="17"/>
        <v>1864901730</v>
      </c>
      <c r="J246" s="112" t="s">
        <v>1181</v>
      </c>
      <c r="K246" s="112"/>
      <c r="L246" s="112"/>
      <c r="M246" s="112"/>
      <c r="N246" s="112"/>
      <c r="O246" s="112"/>
      <c r="P246" s="119"/>
    </row>
    <row r="247" spans="1:20" ht="15.5">
      <c r="A247" s="1443">
        <v>23</v>
      </c>
      <c r="B247" s="1054"/>
      <c r="C247" s="1000" t="s">
        <v>189</v>
      </c>
      <c r="D247" s="1663"/>
      <c r="E247" s="1530"/>
      <c r="F247" s="1474" t="s">
        <v>1182</v>
      </c>
      <c r="G247" s="1701">
        <f>472576718+183789136</f>
        <v>656365854</v>
      </c>
      <c r="H247" s="1702">
        <f>40685+35377798</f>
        <v>35418483</v>
      </c>
      <c r="I247" s="1666">
        <f t="shared" si="17"/>
        <v>620947371</v>
      </c>
      <c r="J247" s="112" t="s">
        <v>2141</v>
      </c>
      <c r="K247" s="112"/>
      <c r="L247" s="112"/>
      <c r="M247" s="112"/>
      <c r="N247" s="112"/>
      <c r="O247" s="112"/>
      <c r="P247" s="119"/>
    </row>
    <row r="248" spans="1:20" ht="16" thickBot="1">
      <c r="A248" s="1462">
        <v>31</v>
      </c>
      <c r="B248" s="1463"/>
      <c r="C248" s="1464" t="s">
        <v>1183</v>
      </c>
      <c r="D248" s="1478"/>
      <c r="E248" s="1478"/>
      <c r="F248" s="1500" t="s">
        <v>1184</v>
      </c>
      <c r="G248" s="1705">
        <v>146158753</v>
      </c>
      <c r="H248" s="1706"/>
      <c r="I248" s="1671">
        <f t="shared" si="17"/>
        <v>146158753</v>
      </c>
      <c r="J248" s="123"/>
      <c r="K248" s="123"/>
      <c r="L248" s="123"/>
      <c r="M248" s="123"/>
      <c r="N248" s="123"/>
      <c r="O248" s="123"/>
      <c r="P248" s="1481"/>
    </row>
    <row r="249" spans="1:20">
      <c r="G249" s="1654"/>
      <c r="H249" s="1654"/>
      <c r="I249" s="1654"/>
      <c r="J249" s="1654"/>
      <c r="K249" s="1654"/>
      <c r="L249" s="1654"/>
      <c r="M249" s="1654"/>
      <c r="N249" s="1654"/>
      <c r="O249" s="1654"/>
      <c r="P249" s="1654"/>
      <c r="Q249" s="1654"/>
    </row>
    <row r="250" spans="1:20" ht="14.5" thickBot="1">
      <c r="G250" s="1530"/>
      <c r="H250" s="1530"/>
      <c r="I250" s="1530"/>
      <c r="J250" s="1530"/>
      <c r="K250" s="1530"/>
      <c r="L250" s="1530"/>
      <c r="M250" s="1530"/>
      <c r="N250" s="1530"/>
      <c r="O250" s="1530"/>
      <c r="P250" s="1530"/>
      <c r="Q250" s="1758"/>
      <c r="R250" s="1530"/>
    </row>
    <row r="251" spans="1:20" ht="18.5" thickBot="1">
      <c r="A251" s="1889" t="s">
        <v>1189</v>
      </c>
      <c r="B251" s="1890"/>
      <c r="C251" s="1890"/>
      <c r="D251" s="1890"/>
      <c r="E251" s="1890"/>
      <c r="F251" s="1891"/>
      <c r="G251" s="1922"/>
      <c r="H251" s="1885"/>
      <c r="I251" s="1884"/>
      <c r="J251" s="1885"/>
      <c r="K251" s="1884"/>
      <c r="L251" s="1885"/>
      <c r="M251" s="1644"/>
      <c r="N251" s="1644"/>
      <c r="O251" s="1644"/>
      <c r="P251" s="1644"/>
      <c r="Q251" s="1644"/>
      <c r="R251" s="1644"/>
      <c r="S251" s="1644"/>
      <c r="T251" s="1645"/>
    </row>
    <row r="252" spans="1:20" ht="53">
      <c r="A252" s="1886" t="s">
        <v>65</v>
      </c>
      <c r="B252" s="1887"/>
      <c r="C252" s="1887"/>
      <c r="D252" s="1887"/>
      <c r="E252" s="1887"/>
      <c r="F252" s="1888"/>
      <c r="G252" s="1437" t="s">
        <v>1190</v>
      </c>
      <c r="H252" s="1707" t="s">
        <v>184</v>
      </c>
      <c r="I252" s="1707" t="s">
        <v>1922</v>
      </c>
      <c r="J252" s="1707" t="s">
        <v>1191</v>
      </c>
      <c r="K252" s="1707" t="s">
        <v>1192</v>
      </c>
      <c r="L252" s="1707" t="s">
        <v>1961</v>
      </c>
      <c r="M252" s="1707" t="s">
        <v>1962</v>
      </c>
      <c r="N252" s="1728" t="s">
        <v>1974</v>
      </c>
      <c r="O252" s="1729" t="s">
        <v>1975</v>
      </c>
      <c r="P252" s="1729" t="s">
        <v>1976</v>
      </c>
      <c r="Q252" s="1754" t="s">
        <v>2144</v>
      </c>
      <c r="R252" s="1729" t="s">
        <v>1193</v>
      </c>
      <c r="S252" s="1433"/>
      <c r="T252" s="1715"/>
    </row>
    <row r="253" spans="1:20" ht="18">
      <c r="A253" s="894"/>
      <c r="B253" s="895"/>
      <c r="C253" s="895"/>
      <c r="D253" s="895"/>
      <c r="E253" s="895"/>
      <c r="F253" s="896"/>
      <c r="G253" s="1708"/>
      <c r="H253" s="1709"/>
      <c r="I253" s="1709"/>
      <c r="J253" s="1709"/>
      <c r="K253" s="1710"/>
      <c r="L253" s="1710"/>
      <c r="M253" s="1710"/>
      <c r="N253" s="1710"/>
      <c r="O253" s="1710"/>
      <c r="P253" s="1710"/>
      <c r="Q253" s="1710"/>
      <c r="R253" s="1710"/>
      <c r="S253" s="1710"/>
      <c r="T253" s="1672"/>
    </row>
    <row r="254" spans="1:20" ht="33.75" customHeight="1">
      <c r="A254" s="1439">
        <v>68</v>
      </c>
      <c r="B254" s="1425"/>
      <c r="C254" s="171" t="s">
        <v>191</v>
      </c>
      <c r="D254" s="1380"/>
      <c r="E254" s="968"/>
      <c r="F254" s="1714" t="s">
        <v>1194</v>
      </c>
      <c r="G254" s="1711">
        <f>'11B - A&amp;G'!$E$24</f>
        <v>165903458</v>
      </c>
      <c r="H254" s="1712">
        <f>'10 - Merger Costs'!C8</f>
        <v>0</v>
      </c>
      <c r="I254" s="1757">
        <v>611085.14</v>
      </c>
      <c r="J254" s="1757">
        <v>1004542.8</v>
      </c>
      <c r="K254" s="1757">
        <v>6228.3</v>
      </c>
      <c r="L254" s="1757">
        <v>0</v>
      </c>
      <c r="M254" s="1757">
        <v>0</v>
      </c>
      <c r="N254" s="1757">
        <v>575</v>
      </c>
      <c r="O254" s="1757">
        <v>0</v>
      </c>
      <c r="P254" s="1757">
        <v>0</v>
      </c>
      <c r="Q254" s="1752">
        <v>0</v>
      </c>
      <c r="R254" s="1712">
        <f>+G254-H254-J254-K254-I254-L254-M254-N254-O254-P254</f>
        <v>164281026.75999999</v>
      </c>
      <c r="S254" s="1450"/>
      <c r="T254" s="1451"/>
    </row>
    <row r="255" spans="1:20" ht="16" thickBot="1">
      <c r="A255" s="1462">
        <v>60</v>
      </c>
      <c r="B255" s="1463"/>
      <c r="C255" s="1464" t="s">
        <v>190</v>
      </c>
      <c r="D255" s="1478"/>
      <c r="E255" s="1478"/>
      <c r="F255" s="1500" t="s">
        <v>1185</v>
      </c>
      <c r="G255" s="1713">
        <f>'11A - O&amp;M'!$E$37</f>
        <v>34509888</v>
      </c>
      <c r="H255" s="1670"/>
      <c r="I255" s="1670"/>
      <c r="J255" s="1670"/>
      <c r="K255" s="122"/>
      <c r="L255" s="984"/>
      <c r="M255" s="984"/>
      <c r="N255" s="1671"/>
      <c r="O255" s="1671"/>
      <c r="P255" s="1671"/>
      <c r="Q255" s="1753">
        <f>$H$44</f>
        <v>269391</v>
      </c>
      <c r="R255" s="1716">
        <f>G255-Q255</f>
        <v>34240497</v>
      </c>
      <c r="S255" s="1652"/>
      <c r="T255" s="1653"/>
    </row>
    <row r="256" spans="1:20">
      <c r="G256" s="1530"/>
      <c r="H256" s="1673"/>
      <c r="I256" s="1530"/>
      <c r="J256" s="1530"/>
      <c r="K256" s="1530"/>
      <c r="L256" s="1530"/>
      <c r="M256" s="1530"/>
      <c r="N256" s="1530"/>
      <c r="O256" s="1530"/>
      <c r="P256" s="1530"/>
      <c r="Q256" s="1530"/>
      <c r="R256" s="1530"/>
    </row>
    <row r="257" spans="1:18">
      <c r="G257" s="1530"/>
      <c r="H257" s="1530"/>
      <c r="I257" s="1530"/>
      <c r="J257" s="1530"/>
      <c r="K257" s="1530"/>
      <c r="L257" s="1530"/>
      <c r="M257" s="1530"/>
      <c r="N257" s="1530"/>
      <c r="O257" s="1530"/>
      <c r="P257" s="1530"/>
      <c r="Q257" s="1530"/>
      <c r="R257" s="1530"/>
    </row>
    <row r="258" spans="1:18">
      <c r="G258" s="1530"/>
      <c r="H258" s="1674"/>
      <c r="I258" s="1530"/>
      <c r="J258" s="1530"/>
      <c r="K258" s="1530"/>
      <c r="L258" s="1530"/>
      <c r="M258" s="1530"/>
      <c r="N258" s="1530"/>
      <c r="O258" s="1530"/>
      <c r="P258" s="1530"/>
      <c r="Q258" s="1530"/>
      <c r="R258" s="1530"/>
    </row>
    <row r="259" spans="1:18" ht="20.5" thickBot="1">
      <c r="A259" s="144" t="s">
        <v>1503</v>
      </c>
      <c r="B259" s="144"/>
      <c r="C259" s="144"/>
      <c r="D259" s="144"/>
      <c r="E259" s="144"/>
      <c r="F259" s="144"/>
      <c r="G259" s="1675"/>
      <c r="H259" s="1675"/>
      <c r="I259" s="1675"/>
      <c r="J259" s="1676"/>
      <c r="K259" s="1676"/>
      <c r="L259" s="1676"/>
      <c r="M259" s="1676"/>
      <c r="N259" s="1676"/>
      <c r="O259" s="1676"/>
      <c r="P259" s="1676"/>
      <c r="Q259" s="1676"/>
      <c r="R259" s="1530"/>
    </row>
    <row r="260" spans="1:18" ht="30.75" customHeight="1">
      <c r="A260" s="1903" t="s">
        <v>1040</v>
      </c>
      <c r="B260" s="1903"/>
      <c r="C260" s="1903"/>
      <c r="D260" s="1903"/>
      <c r="E260" s="1903"/>
      <c r="F260" s="1921"/>
      <c r="G260" s="1677" t="s">
        <v>1504</v>
      </c>
      <c r="H260" s="1678" t="s">
        <v>184</v>
      </c>
      <c r="I260" s="1678" t="s">
        <v>185</v>
      </c>
      <c r="J260" s="1679"/>
      <c r="K260" s="1679"/>
      <c r="L260" s="1679"/>
      <c r="M260" s="1679"/>
      <c r="N260" s="1679"/>
      <c r="O260" s="1679"/>
      <c r="P260" s="1679"/>
      <c r="Q260" s="1680"/>
    </row>
    <row r="261" spans="1:18" ht="18">
      <c r="A261" s="149"/>
      <c r="B261" s="150"/>
      <c r="C261" s="150"/>
      <c r="D261" s="150"/>
      <c r="E261" s="150"/>
      <c r="F261" s="151"/>
      <c r="G261" s="1675"/>
      <c r="H261" s="1675"/>
      <c r="I261" s="1675"/>
      <c r="J261" s="1681"/>
      <c r="K261" s="1681"/>
      <c r="L261" s="1681"/>
      <c r="M261" s="1681"/>
      <c r="N261" s="1681"/>
      <c r="O261" s="1681"/>
      <c r="P261" s="1681"/>
      <c r="Q261" s="1682"/>
    </row>
    <row r="262" spans="1:18" ht="15.5">
      <c r="A262" s="1443">
        <v>86</v>
      </c>
      <c r="B262" s="1054"/>
      <c r="C262" s="1000" t="s">
        <v>473</v>
      </c>
      <c r="D262" s="1683"/>
      <c r="E262" s="1448"/>
      <c r="F262" s="1474" t="s">
        <v>1968</v>
      </c>
      <c r="G262" s="1669">
        <v>30792514</v>
      </c>
      <c r="H262" s="1669">
        <v>0</v>
      </c>
      <c r="I262" s="1666">
        <f>+G262-H262</f>
        <v>30792514</v>
      </c>
      <c r="J262" s="1472"/>
      <c r="K262" s="1472"/>
      <c r="L262" s="1472"/>
      <c r="M262" s="1472"/>
      <c r="N262" s="1472"/>
      <c r="O262" s="1472"/>
      <c r="P262" s="1472"/>
      <c r="Q262" s="120"/>
    </row>
    <row r="263" spans="1:18" ht="15.5">
      <c r="A263" s="1443">
        <v>87</v>
      </c>
      <c r="B263" s="1054"/>
      <c r="C263" s="1000" t="s">
        <v>1041</v>
      </c>
      <c r="D263" s="1527"/>
      <c r="E263" s="1527"/>
      <c r="F263" s="1474" t="s">
        <v>1959</v>
      </c>
      <c r="G263" s="1669">
        <v>13914070</v>
      </c>
      <c r="H263" s="1669">
        <f>+'10 - Merger Costs'!C14</f>
        <v>0</v>
      </c>
      <c r="I263" s="1666">
        <f t="shared" ref="I263:I265" si="18">+G263-H263</f>
        <v>13914070</v>
      </c>
      <c r="J263" s="1472"/>
      <c r="K263" s="1472"/>
      <c r="L263" s="1472"/>
      <c r="M263" s="1472"/>
      <c r="N263" s="1472"/>
      <c r="O263" s="1472"/>
      <c r="P263" s="1472"/>
      <c r="Q263" s="120"/>
    </row>
    <row r="264" spans="1:18" ht="15.5">
      <c r="A264" s="1443">
        <v>88</v>
      </c>
      <c r="B264" s="1054"/>
      <c r="C264" s="1000" t="s">
        <v>476</v>
      </c>
      <c r="D264" s="1527"/>
      <c r="E264" s="1527"/>
      <c r="F264" s="1474" t="s">
        <v>1960</v>
      </c>
      <c r="G264" s="1669">
        <v>33934632</v>
      </c>
      <c r="H264" s="1669">
        <f>+'10 - Merger Costs'!C15</f>
        <v>0</v>
      </c>
      <c r="I264" s="1666">
        <f t="shared" si="18"/>
        <v>33934632</v>
      </c>
      <c r="J264" s="1472"/>
      <c r="K264" s="1472"/>
      <c r="L264" s="1472"/>
      <c r="M264" s="1472"/>
      <c r="N264" s="1472"/>
      <c r="O264" s="1472"/>
      <c r="P264" s="1472"/>
      <c r="Q264" s="120"/>
    </row>
    <row r="265" spans="1:18" ht="15.5">
      <c r="A265" s="1443">
        <v>92</v>
      </c>
      <c r="B265" s="1054"/>
      <c r="C265" s="1000" t="s">
        <v>478</v>
      </c>
      <c r="D265" s="1527"/>
      <c r="E265" s="1527"/>
      <c r="F265" s="1474"/>
      <c r="G265" s="1669">
        <v>0</v>
      </c>
      <c r="H265" s="1669">
        <v>0</v>
      </c>
      <c r="I265" s="1666">
        <f t="shared" si="18"/>
        <v>0</v>
      </c>
      <c r="J265" s="1472"/>
      <c r="K265" s="1472"/>
      <c r="L265" s="1472"/>
      <c r="M265" s="1472"/>
      <c r="N265" s="1472"/>
      <c r="O265" s="1472"/>
      <c r="P265" s="1472"/>
      <c r="Q265" s="120"/>
    </row>
    <row r="266" spans="1:18" ht="16" thickBot="1">
      <c r="A266" s="1462">
        <v>93</v>
      </c>
      <c r="B266" s="1463"/>
      <c r="C266" s="1684" t="s">
        <v>479</v>
      </c>
      <c r="D266" s="1479"/>
      <c r="E266" s="1479"/>
      <c r="F266" s="1500"/>
      <c r="G266" s="1670">
        <v>0</v>
      </c>
      <c r="H266" s="1670">
        <v>0</v>
      </c>
      <c r="I266" s="1671">
        <f t="shared" ref="I266" si="19">G266-H266</f>
        <v>0</v>
      </c>
      <c r="J266" s="122"/>
      <c r="K266" s="122"/>
      <c r="L266" s="122"/>
      <c r="M266" s="122"/>
      <c r="N266" s="122"/>
      <c r="O266" s="122"/>
      <c r="P266" s="122"/>
      <c r="Q266" s="124"/>
    </row>
    <row r="267" spans="1:18" ht="15.5">
      <c r="A267" s="1054"/>
      <c r="B267" s="1054"/>
      <c r="C267" s="1000"/>
      <c r="D267" s="1530"/>
      <c r="E267" s="1530"/>
      <c r="F267" s="1000"/>
      <c r="G267" s="1664"/>
      <c r="H267" s="1664"/>
      <c r="I267" s="1665"/>
      <c r="J267" s="112"/>
      <c r="K267" s="112"/>
      <c r="L267" s="112"/>
      <c r="M267" s="112"/>
      <c r="N267" s="112"/>
      <c r="O267" s="112"/>
      <c r="P267" s="112"/>
      <c r="Q267" s="112"/>
    </row>
    <row r="268" spans="1:18" ht="16" thickBot="1">
      <c r="A268" s="1054"/>
      <c r="B268" s="1054"/>
      <c r="C268" s="1000"/>
      <c r="D268" s="1530"/>
      <c r="E268" s="1530"/>
      <c r="F268" s="1000"/>
      <c r="G268" s="1664"/>
      <c r="H268" s="1664"/>
      <c r="I268" s="1665"/>
      <c r="J268" s="112"/>
      <c r="K268" s="112"/>
      <c r="L268" s="112"/>
      <c r="M268" s="112"/>
      <c r="N268" s="112"/>
      <c r="O268" s="112"/>
      <c r="P268" s="112"/>
      <c r="Q268" s="112"/>
    </row>
    <row r="269" spans="1:18" ht="20.5" thickBot="1">
      <c r="A269" s="1915" t="s">
        <v>194</v>
      </c>
      <c r="B269" s="1916"/>
      <c r="C269" s="1916"/>
      <c r="D269" s="1916"/>
      <c r="E269" s="1916"/>
      <c r="F269" s="1917"/>
      <c r="G269" s="1918"/>
      <c r="H269" s="1919"/>
      <c r="I269" s="1920"/>
      <c r="J269" s="1919"/>
      <c r="K269" s="1920"/>
      <c r="L269" s="1919"/>
      <c r="M269" s="1685"/>
      <c r="N269" s="1685"/>
      <c r="O269" s="1685"/>
      <c r="P269" s="1685"/>
      <c r="Q269" s="1686"/>
    </row>
    <row r="270" spans="1:18" ht="40">
      <c r="A270" s="1886" t="s">
        <v>65</v>
      </c>
      <c r="B270" s="1887"/>
      <c r="C270" s="1887"/>
      <c r="D270" s="1887"/>
      <c r="E270" s="1887"/>
      <c r="F270" s="1888"/>
      <c r="G270" s="1438" t="s">
        <v>195</v>
      </c>
      <c r="H270" s="1438" t="s">
        <v>196</v>
      </c>
      <c r="I270" s="1438" t="s">
        <v>197</v>
      </c>
      <c r="J270" s="1438" t="s">
        <v>198</v>
      </c>
      <c r="K270" s="1909" t="s">
        <v>199</v>
      </c>
      <c r="L270" s="1910"/>
      <c r="M270" s="1910"/>
      <c r="N270" s="1910"/>
      <c r="O270" s="1910"/>
      <c r="P270" s="1910"/>
      <c r="Q270" s="1911"/>
    </row>
    <row r="271" spans="1:18" s="1532" customFormat="1" ht="10.5" customHeight="1">
      <c r="A271" s="149"/>
      <c r="B271" s="150"/>
      <c r="C271" s="150"/>
      <c r="D271" s="150"/>
      <c r="E271" s="150"/>
      <c r="F271" s="151"/>
      <c r="G271" s="1675"/>
      <c r="H271" s="1675"/>
      <c r="I271" s="1675"/>
      <c r="J271" s="1681"/>
      <c r="K271" s="1681"/>
      <c r="L271" s="1681"/>
      <c r="M271" s="1681"/>
      <c r="N271" s="1681"/>
      <c r="O271" s="1681"/>
      <c r="P271" s="1681"/>
      <c r="Q271" s="1682"/>
    </row>
    <row r="272" spans="1:18" ht="52.5" customHeight="1">
      <c r="A272" s="1443">
        <v>68</v>
      </c>
      <c r="B272" s="1054"/>
      <c r="C272" s="1000" t="s">
        <v>191</v>
      </c>
      <c r="D272" s="222"/>
      <c r="E272" s="1485"/>
      <c r="F272" s="1687" t="s">
        <v>200</v>
      </c>
      <c r="G272" s="1664">
        <f>+'11B - A&amp;G'!E24</f>
        <v>165903458</v>
      </c>
      <c r="H272" s="1664">
        <f>+'11B - A&amp;G'!E16</f>
        <v>14399487</v>
      </c>
      <c r="I272" s="311">
        <v>126569</v>
      </c>
      <c r="J272" s="311">
        <v>-250323.3100000002</v>
      </c>
      <c r="K272" s="1912" t="s">
        <v>2151</v>
      </c>
      <c r="L272" s="1913"/>
      <c r="M272" s="1913"/>
      <c r="N272" s="1913"/>
      <c r="O272" s="1913"/>
      <c r="P272" s="1913"/>
      <c r="Q272" s="1914"/>
      <c r="R272" s="101"/>
    </row>
    <row r="273" spans="1:17" ht="16" thickBot="1">
      <c r="A273" s="1462"/>
      <c r="B273" s="1463"/>
      <c r="C273" s="1464"/>
      <c r="D273" s="1478"/>
      <c r="E273" s="1478"/>
      <c r="F273" s="1500"/>
      <c r="G273" s="1688"/>
      <c r="H273" s="1688"/>
      <c r="I273" s="1689"/>
      <c r="J273" s="123"/>
      <c r="K273" s="123"/>
      <c r="L273" s="123"/>
      <c r="M273" s="123"/>
      <c r="N273" s="123"/>
      <c r="O273" s="123"/>
      <c r="P273" s="123"/>
      <c r="Q273" s="1481"/>
    </row>
    <row r="274" spans="1:17">
      <c r="G274" s="1654"/>
      <c r="H274" s="1654"/>
      <c r="I274" s="1654"/>
      <c r="J274" s="1654"/>
      <c r="K274" s="1654"/>
      <c r="L274" s="1654"/>
      <c r="M274" s="1654"/>
      <c r="N274" s="1654"/>
      <c r="O274" s="1654"/>
      <c r="P274" s="1654"/>
      <c r="Q274" s="1654"/>
    </row>
    <row r="275" spans="1:17">
      <c r="G275" s="1654"/>
      <c r="H275" s="1654"/>
      <c r="I275" s="1654"/>
      <c r="J275" s="1656"/>
      <c r="K275" s="1654"/>
      <c r="L275" s="1654"/>
      <c r="M275" s="1654"/>
      <c r="N275" s="1654"/>
      <c r="O275" s="1654"/>
      <c r="P275" s="1654"/>
      <c r="Q275" s="1654"/>
    </row>
    <row r="276" spans="1:17" ht="14.5" thickBot="1">
      <c r="G276" s="1654"/>
      <c r="H276" s="1654"/>
      <c r="I276" s="1654"/>
      <c r="J276" s="1656"/>
      <c r="K276" s="1654"/>
      <c r="L276" s="1654"/>
      <c r="M276" s="1654"/>
      <c r="N276" s="1654"/>
      <c r="O276" s="1654"/>
      <c r="P276" s="1654"/>
      <c r="Q276" s="1654"/>
    </row>
    <row r="277" spans="1:17" ht="18.5" thickBot="1">
      <c r="A277" s="1889" t="s">
        <v>201</v>
      </c>
      <c r="B277" s="1890"/>
      <c r="C277" s="1890"/>
      <c r="D277" s="1890"/>
      <c r="E277" s="1890"/>
      <c r="F277" s="1891"/>
      <c r="G277" s="1654"/>
      <c r="H277" s="1654"/>
      <c r="I277" s="1654"/>
      <c r="J277" s="1656"/>
      <c r="K277" s="1654"/>
      <c r="L277" s="1654"/>
      <c r="M277" s="1654"/>
      <c r="N277" s="1654"/>
      <c r="O277" s="1654"/>
      <c r="P277" s="1654"/>
      <c r="Q277" s="1654"/>
    </row>
    <row r="278" spans="1:17">
      <c r="G278" s="1654"/>
      <c r="H278" s="1654"/>
      <c r="I278" s="1654"/>
      <c r="J278" s="1654"/>
      <c r="K278" s="1654"/>
      <c r="L278" s="1654"/>
      <c r="M278" s="1654"/>
      <c r="N278" s="1654"/>
      <c r="O278" s="1654"/>
      <c r="P278" s="1654"/>
      <c r="Q278" s="1654"/>
    </row>
    <row r="279" spans="1:17">
      <c r="A279" s="884" t="s">
        <v>202</v>
      </c>
      <c r="C279" s="152" t="s">
        <v>203</v>
      </c>
      <c r="E279" s="1690">
        <f>+E287</f>
        <v>2955670.63870335</v>
      </c>
      <c r="G279" s="1654"/>
      <c r="H279" s="1654"/>
      <c r="I279" s="1654"/>
      <c r="J279" s="1654"/>
      <c r="K279" s="1654"/>
      <c r="L279" s="1654"/>
      <c r="M279" s="1654"/>
      <c r="N279" s="1654"/>
      <c r="O279" s="1654"/>
      <c r="P279" s="1654"/>
      <c r="Q279" s="1654"/>
    </row>
    <row r="280" spans="1:17">
      <c r="G280" s="1654"/>
      <c r="H280" s="1654"/>
      <c r="I280" s="1654"/>
      <c r="J280" s="1654"/>
      <c r="K280" s="1654"/>
      <c r="L280" s="1654"/>
      <c r="M280" s="1654"/>
      <c r="N280" s="1654"/>
      <c r="O280" s="1654"/>
      <c r="P280" s="1654"/>
      <c r="Q280" s="1654"/>
    </row>
    <row r="281" spans="1:17">
      <c r="D281" s="1621" t="s">
        <v>204</v>
      </c>
      <c r="E281" s="1691">
        <f>+'3 - Revenue Credits'!D33</f>
        <v>10725661.8597937</v>
      </c>
      <c r="G281" s="1654"/>
      <c r="H281" s="1654"/>
      <c r="I281" s="1654"/>
      <c r="J281" s="1654"/>
      <c r="K281" s="1654"/>
      <c r="L281" s="1654"/>
      <c r="M281" s="1654"/>
      <c r="N281" s="1654"/>
      <c r="O281" s="1654"/>
      <c r="P281" s="1654"/>
      <c r="Q281" s="1654"/>
    </row>
    <row r="282" spans="1:17">
      <c r="D282" s="1692" t="s">
        <v>205</v>
      </c>
      <c r="E282" s="1693">
        <v>0.21</v>
      </c>
      <c r="G282" s="1654"/>
      <c r="H282" s="1654"/>
      <c r="I282" s="1654"/>
      <c r="J282" s="1654"/>
      <c r="K282" s="1654"/>
      <c r="L282" s="1654"/>
      <c r="M282" s="1654"/>
      <c r="N282" s="1654"/>
      <c r="O282" s="1654"/>
      <c r="P282" s="1654"/>
      <c r="Q282" s="1654"/>
    </row>
    <row r="283" spans="1:17">
      <c r="D283" s="1694" t="s">
        <v>206</v>
      </c>
      <c r="E283" s="1695">
        <f>E281*E282</f>
        <v>2252388.9905566769</v>
      </c>
      <c r="G283" s="1654"/>
      <c r="H283" s="1654"/>
      <c r="I283" s="1654"/>
      <c r="J283" s="1654"/>
      <c r="K283" s="1654"/>
      <c r="L283" s="1654"/>
      <c r="M283" s="1654"/>
      <c r="N283" s="1654"/>
      <c r="O283" s="1654"/>
      <c r="P283" s="1654"/>
      <c r="Q283" s="1654"/>
    </row>
    <row r="284" spans="1:17">
      <c r="D284" s="1694" t="s">
        <v>207</v>
      </c>
      <c r="E284" s="1695">
        <f>E281-E283</f>
        <v>8473272.8692370243</v>
      </c>
      <c r="G284" s="1654"/>
      <c r="H284" s="1654"/>
      <c r="I284" s="1654"/>
      <c r="J284" s="1654"/>
      <c r="K284" s="1654"/>
      <c r="L284" s="1654"/>
      <c r="M284" s="1654"/>
      <c r="N284" s="1654"/>
      <c r="O284" s="1654"/>
      <c r="P284" s="1654"/>
      <c r="Q284" s="1654"/>
    </row>
    <row r="285" spans="1:17">
      <c r="D285" s="1694" t="s">
        <v>208</v>
      </c>
      <c r="E285" s="1696">
        <f>+F65</f>
        <v>8.3000000000000004E-2</v>
      </c>
      <c r="G285" s="1654"/>
      <c r="H285" s="1654"/>
      <c r="I285" s="1654"/>
      <c r="J285" s="1654"/>
      <c r="K285" s="1654"/>
      <c r="L285" s="1654"/>
      <c r="M285" s="1654"/>
      <c r="N285" s="1654"/>
      <c r="O285" s="1654"/>
      <c r="P285" s="1654"/>
      <c r="Q285" s="1654"/>
    </row>
    <row r="286" spans="1:17">
      <c r="D286" s="1694" t="s">
        <v>209</v>
      </c>
      <c r="E286" s="1695">
        <f>E284*E285</f>
        <v>703281.64814667311</v>
      </c>
      <c r="G286" s="1654"/>
      <c r="H286" s="1654"/>
      <c r="I286" s="1654"/>
      <c r="J286" s="1654"/>
      <c r="K286" s="1654"/>
      <c r="L286" s="1654"/>
      <c r="M286" s="1654"/>
      <c r="N286" s="1654"/>
      <c r="O286" s="1654"/>
      <c r="P286" s="1654"/>
      <c r="Q286" s="1654"/>
    </row>
    <row r="287" spans="1:17" ht="14.5" thickBot="1">
      <c r="D287" s="1694" t="s">
        <v>210</v>
      </c>
      <c r="E287" s="1697">
        <f>E286+E283</f>
        <v>2955670.63870335</v>
      </c>
      <c r="G287" s="1654"/>
      <c r="H287" s="1654"/>
      <c r="I287" s="1654"/>
      <c r="J287" s="1654"/>
      <c r="K287" s="1654"/>
      <c r="L287" s="1654"/>
      <c r="M287" s="1654"/>
      <c r="N287" s="1654"/>
      <c r="O287" s="1654"/>
      <c r="P287" s="1654"/>
      <c r="Q287" s="1654"/>
    </row>
    <row r="288" spans="1:17" ht="14.5" thickTop="1"/>
    <row r="289" spans="1:19" ht="14.5" thickBot="1"/>
    <row r="290" spans="1:19" ht="18.5" thickBot="1">
      <c r="A290" s="1889" t="s">
        <v>941</v>
      </c>
      <c r="B290" s="1890"/>
      <c r="C290" s="1890"/>
      <c r="D290" s="1890"/>
      <c r="E290" s="1890"/>
      <c r="F290" s="1891"/>
    </row>
    <row r="291" spans="1:19">
      <c r="A291" s="884">
        <v>167</v>
      </c>
      <c r="C291" s="884" t="s">
        <v>2133</v>
      </c>
    </row>
    <row r="292" spans="1:19" ht="16" thickBot="1">
      <c r="D292" s="1053"/>
    </row>
    <row r="293" spans="1:19" ht="18.5" thickBot="1">
      <c r="A293" s="1889" t="s">
        <v>1928</v>
      </c>
      <c r="B293" s="1890"/>
      <c r="C293" s="1890"/>
      <c r="D293" s="1890"/>
      <c r="E293" s="1890"/>
      <c r="F293" s="1891"/>
    </row>
    <row r="294" spans="1:19">
      <c r="A294" s="884">
        <v>22</v>
      </c>
      <c r="C294" s="884" t="s">
        <v>1929</v>
      </c>
    </row>
    <row r="295" spans="1:19" ht="14.5" thickBot="1"/>
    <row r="296" spans="1:19" ht="18.5" thickBot="1">
      <c r="A296" s="1889" t="s">
        <v>1930</v>
      </c>
      <c r="B296" s="1890"/>
      <c r="C296" s="1890"/>
      <c r="D296" s="1890"/>
      <c r="E296" s="1890"/>
      <c r="F296" s="1891"/>
    </row>
    <row r="297" spans="1:19" ht="15.5">
      <c r="A297" s="884" t="s">
        <v>1931</v>
      </c>
      <c r="C297" s="884" t="s">
        <v>1932</v>
      </c>
      <c r="G297" s="1698"/>
      <c r="H297" s="1698"/>
    </row>
    <row r="298" spans="1:19" ht="15.5">
      <c r="G298" s="1698"/>
      <c r="H298" s="1698"/>
    </row>
    <row r="299" spans="1:19" ht="16" thickBot="1">
      <c r="D299" s="1699"/>
      <c r="E299" s="1698"/>
      <c r="F299" s="1698"/>
      <c r="G299" s="1698"/>
      <c r="H299" s="1698"/>
    </row>
    <row r="300" spans="1:19" ht="18.5" thickBot="1">
      <c r="A300" s="1431" t="s">
        <v>1527</v>
      </c>
      <c r="B300" s="1081"/>
      <c r="C300" s="1081"/>
      <c r="D300" s="1081"/>
      <c r="E300" s="1081"/>
      <c r="F300" s="1081"/>
      <c r="G300" s="1081"/>
      <c r="H300" s="1081"/>
      <c r="I300" s="1081"/>
      <c r="J300" s="1082"/>
      <c r="K300" s="1082"/>
      <c r="L300" s="1082"/>
      <c r="M300" s="1082"/>
      <c r="N300" s="1082"/>
      <c r="O300" s="1082"/>
      <c r="P300" s="1082"/>
      <c r="Q300" s="1083"/>
      <c r="R300" s="1654"/>
      <c r="S300" s="1654"/>
    </row>
    <row r="301" spans="1:19">
      <c r="A301" s="1123"/>
      <c r="B301" s="1084"/>
      <c r="C301" s="1085"/>
      <c r="D301" s="1084"/>
      <c r="E301" s="1086"/>
      <c r="F301" s="1086"/>
      <c r="G301" s="1087"/>
      <c r="H301" s="1088" t="s">
        <v>274</v>
      </c>
      <c r="I301" s="1087"/>
      <c r="J301" s="1089"/>
      <c r="K301" s="1087"/>
      <c r="L301" s="1090"/>
      <c r="M301" s="1084"/>
      <c r="N301" s="1084"/>
      <c r="O301" s="1084"/>
      <c r="P301" s="1084"/>
      <c r="Q301" s="1091"/>
    </row>
    <row r="302" spans="1:19">
      <c r="A302" s="1123"/>
      <c r="B302" s="1092"/>
      <c r="C302" s="1084"/>
      <c r="D302" s="1093"/>
      <c r="E302" s="1094"/>
      <c r="F302" s="1094"/>
      <c r="G302" s="1087"/>
      <c r="H302" s="1088" t="s">
        <v>56</v>
      </c>
      <c r="I302" s="1088"/>
      <c r="J302" s="1088" t="s">
        <v>1528</v>
      </c>
      <c r="K302" s="1087"/>
      <c r="L302" s="1095"/>
      <c r="M302" s="1095"/>
      <c r="N302" s="1095"/>
      <c r="O302" s="1095"/>
      <c r="P302" s="1095"/>
      <c r="Q302" s="1096"/>
    </row>
    <row r="303" spans="1:19">
      <c r="A303" s="1124" t="s">
        <v>691</v>
      </c>
      <c r="B303" s="1092"/>
      <c r="C303" s="1097" t="s">
        <v>1529</v>
      </c>
      <c r="D303" s="1093"/>
      <c r="E303" s="1094"/>
      <c r="F303" s="1098" t="s">
        <v>1530</v>
      </c>
      <c r="G303" s="1087"/>
      <c r="H303" s="1099" t="s">
        <v>1531</v>
      </c>
      <c r="I303" s="1088"/>
      <c r="J303" s="1099" t="s">
        <v>1532</v>
      </c>
      <c r="K303" s="1087"/>
      <c r="L303" s="1099" t="s">
        <v>1533</v>
      </c>
      <c r="M303" s="1095"/>
      <c r="N303" s="1095"/>
      <c r="O303" s="1095"/>
      <c r="P303" s="1095"/>
      <c r="Q303" s="1096"/>
    </row>
    <row r="304" spans="1:19">
      <c r="A304" s="1123"/>
      <c r="B304" s="1092"/>
      <c r="C304" s="1100"/>
      <c r="D304" s="1093"/>
      <c r="E304" s="1094"/>
      <c r="F304" s="1094"/>
      <c r="G304" s="1087"/>
      <c r="H304" s="1088"/>
      <c r="I304" s="1088"/>
      <c r="J304" s="1088"/>
      <c r="K304" s="1087"/>
      <c r="L304" s="1101"/>
      <c r="M304" s="1095"/>
      <c r="N304" s="1095"/>
      <c r="O304" s="1095"/>
      <c r="P304" s="1095"/>
      <c r="Q304" s="1096"/>
    </row>
    <row r="305" spans="1:17">
      <c r="A305" s="1123" t="s">
        <v>1196</v>
      </c>
      <c r="B305" s="1084"/>
      <c r="C305" s="1085" t="s">
        <v>1458</v>
      </c>
      <c r="D305" s="1084"/>
      <c r="E305" s="1086"/>
      <c r="F305" s="1086" t="s">
        <v>1534</v>
      </c>
      <c r="G305" s="1087"/>
      <c r="H305" s="1102">
        <v>711568.74841238162</v>
      </c>
      <c r="I305" s="1103" t="s">
        <v>1212</v>
      </c>
      <c r="J305" s="1104">
        <f>'ATT H-9A'!H260</f>
        <v>0.27556999999999998</v>
      </c>
      <c r="K305" s="1105" t="s">
        <v>1535</v>
      </c>
      <c r="L305" s="1106">
        <f>H305*J305</f>
        <v>196087</v>
      </c>
      <c r="M305" s="1107"/>
      <c r="N305" s="1095"/>
      <c r="O305" s="1107"/>
      <c r="P305" s="1095"/>
      <c r="Q305" s="1108"/>
    </row>
    <row r="306" spans="1:17">
      <c r="A306" s="1123"/>
      <c r="B306" s="1084"/>
      <c r="C306" s="1085" t="s">
        <v>1536</v>
      </c>
      <c r="D306" s="1084"/>
      <c r="E306" s="1086"/>
      <c r="F306" s="1086"/>
      <c r="G306" s="1087"/>
      <c r="H306" s="1087"/>
      <c r="I306" s="1087"/>
      <c r="J306" s="1087"/>
      <c r="K306" s="1087"/>
      <c r="L306" s="1106"/>
      <c r="M306" s="1095"/>
      <c r="N306" s="1095"/>
      <c r="O306" s="1095"/>
      <c r="P306" s="1095"/>
      <c r="Q306" s="1096"/>
    </row>
    <row r="307" spans="1:17">
      <c r="A307" s="1123" t="s">
        <v>1198</v>
      </c>
      <c r="B307" s="1084"/>
      <c r="C307" s="1109" t="s">
        <v>1481</v>
      </c>
      <c r="D307" s="1084"/>
      <c r="E307" s="1086"/>
      <c r="F307" s="1086" t="s">
        <v>1537</v>
      </c>
      <c r="G307" s="1087"/>
      <c r="H307" s="1087"/>
      <c r="I307" s="1087"/>
      <c r="J307" s="1087"/>
      <c r="K307" s="1087"/>
      <c r="L307" s="1110">
        <f>-'1E - ADIT Amortization'!O108</f>
        <v>-10536973.129439641</v>
      </c>
      <c r="M307" s="1111"/>
      <c r="N307" s="1095"/>
      <c r="O307" s="1111"/>
      <c r="P307" s="1095"/>
      <c r="Q307" s="1112"/>
    </row>
    <row r="308" spans="1:17">
      <c r="A308" s="1123" t="s">
        <v>1199</v>
      </c>
      <c r="B308" s="1084"/>
      <c r="C308" s="1113" t="s">
        <v>1482</v>
      </c>
      <c r="D308" s="1084"/>
      <c r="E308" s="1086"/>
      <c r="F308" s="1086" t="s">
        <v>1537</v>
      </c>
      <c r="G308" s="1087"/>
      <c r="H308" s="1087"/>
      <c r="I308" s="1087"/>
      <c r="J308" s="1087"/>
      <c r="K308" s="1087"/>
      <c r="L308" s="1110">
        <f>-'1E - ADIT Amortization'!O393</f>
        <v>-475352.17499999999</v>
      </c>
      <c r="M308" s="1111"/>
      <c r="N308" s="1095"/>
      <c r="O308" s="1111"/>
      <c r="P308" s="1095"/>
      <c r="Q308" s="1112"/>
    </row>
    <row r="309" spans="1:17">
      <c r="A309" s="1123" t="s">
        <v>1462</v>
      </c>
      <c r="B309" s="1084"/>
      <c r="C309" s="1085" t="s">
        <v>1466</v>
      </c>
      <c r="D309" s="1084"/>
      <c r="E309" s="1086"/>
      <c r="F309" s="1086" t="s">
        <v>1538</v>
      </c>
      <c r="G309" s="1087"/>
      <c r="H309" s="1087"/>
      <c r="I309" s="1087"/>
      <c r="J309" s="1087"/>
      <c r="K309" s="1087"/>
      <c r="L309" s="1110">
        <v>0</v>
      </c>
      <c r="M309" s="1095"/>
      <c r="N309" s="1095"/>
      <c r="O309" s="1095"/>
      <c r="P309" s="1095"/>
      <c r="Q309" s="1096"/>
    </row>
    <row r="310" spans="1:17" ht="14.5" thickBot="1">
      <c r="A310" s="1123" t="s">
        <v>1465</v>
      </c>
      <c r="B310" s="1084"/>
      <c r="C310" s="1114" t="s">
        <v>1539</v>
      </c>
      <c r="D310" s="1084"/>
      <c r="E310" s="1086"/>
      <c r="F310" s="1086" t="s">
        <v>1540</v>
      </c>
      <c r="G310" s="1087"/>
      <c r="H310" s="1087"/>
      <c r="I310" s="1087"/>
      <c r="J310" s="1087"/>
      <c r="K310" s="1087"/>
      <c r="L310" s="1115">
        <f>SUM(L305:L309)</f>
        <v>-10816238.304439642</v>
      </c>
      <c r="M310" s="1095"/>
      <c r="N310" s="1095"/>
      <c r="O310" s="1095"/>
      <c r="P310" s="1095"/>
      <c r="Q310" s="1096"/>
    </row>
    <row r="311" spans="1:17" ht="14.5" thickTop="1">
      <c r="A311" s="1123"/>
      <c r="B311" s="1084"/>
      <c r="C311" s="1085"/>
      <c r="D311" s="1084"/>
      <c r="E311" s="1086"/>
      <c r="F311" s="1086"/>
      <c r="G311" s="1087"/>
      <c r="H311" s="1087"/>
      <c r="I311" s="1087"/>
      <c r="J311" s="1087"/>
      <c r="K311" s="1106"/>
      <c r="L311" s="1084"/>
      <c r="M311" s="1095"/>
      <c r="N311" s="1095"/>
      <c r="O311" s="1095"/>
      <c r="P311" s="1095"/>
      <c r="Q311" s="1096"/>
    </row>
    <row r="312" spans="1:17">
      <c r="A312" s="1125" t="s">
        <v>1541</v>
      </c>
      <c r="B312" s="1084"/>
      <c r="C312" s="1097" t="s">
        <v>1542</v>
      </c>
      <c r="D312" s="1100"/>
      <c r="E312" s="1100"/>
      <c r="F312" s="1086"/>
      <c r="G312" s="1087"/>
      <c r="H312" s="1087"/>
      <c r="I312" s="1089"/>
      <c r="J312" s="1087"/>
      <c r="K312" s="1090"/>
      <c r="L312" s="1084"/>
      <c r="M312" s="1095"/>
      <c r="N312" s="1095"/>
      <c r="O312" s="1095"/>
      <c r="P312" s="1095"/>
      <c r="Q312" s="1096"/>
    </row>
    <row r="313" spans="1:17" ht="15" customHeight="1">
      <c r="A313" s="1126" t="s">
        <v>1543</v>
      </c>
      <c r="B313" s="1084"/>
      <c r="C313" s="1892" t="s">
        <v>1544</v>
      </c>
      <c r="D313" s="1892"/>
      <c r="E313" s="1892"/>
      <c r="F313" s="1892"/>
      <c r="G313" s="1087"/>
      <c r="H313" s="1087"/>
      <c r="I313" s="1089"/>
      <c r="J313" s="1087"/>
      <c r="K313" s="1090"/>
      <c r="L313" s="1084"/>
      <c r="M313" s="1084"/>
      <c r="N313" s="1084"/>
      <c r="O313" s="1084"/>
      <c r="P313" s="1084"/>
      <c r="Q313" s="1091"/>
    </row>
    <row r="314" spans="1:17" ht="15" customHeight="1">
      <c r="A314" s="1126"/>
      <c r="B314" s="1084"/>
      <c r="C314" s="1892"/>
      <c r="D314" s="1892"/>
      <c r="E314" s="1892"/>
      <c r="F314" s="1892"/>
      <c r="G314" s="1087"/>
      <c r="H314" s="1087"/>
      <c r="I314" s="1089"/>
      <c r="J314" s="1087"/>
      <c r="K314" s="1090"/>
      <c r="L314" s="1084"/>
      <c r="M314" s="1084"/>
      <c r="N314" s="1084"/>
      <c r="O314" s="1084"/>
      <c r="P314" s="1084"/>
      <c r="Q314" s="1091"/>
    </row>
    <row r="315" spans="1:17" ht="15" customHeight="1">
      <c r="A315" s="1126" t="s">
        <v>1545</v>
      </c>
      <c r="B315" s="1084"/>
      <c r="C315" s="1892" t="s">
        <v>1546</v>
      </c>
      <c r="D315" s="1892"/>
      <c r="E315" s="1892"/>
      <c r="F315" s="1892"/>
      <c r="G315" s="1087"/>
      <c r="H315" s="1087"/>
      <c r="I315" s="1089"/>
      <c r="J315" s="1087"/>
      <c r="K315" s="1090"/>
      <c r="L315" s="1084"/>
      <c r="M315" s="1084"/>
      <c r="N315" s="1084"/>
      <c r="O315" s="1084"/>
      <c r="P315" s="1084"/>
      <c r="Q315" s="1091"/>
    </row>
    <row r="316" spans="1:17" ht="15" customHeight="1">
      <c r="A316" s="1126" t="s">
        <v>1547</v>
      </c>
      <c r="B316" s="1084"/>
      <c r="C316" s="1893" t="s">
        <v>1548</v>
      </c>
      <c r="D316" s="1893"/>
      <c r="E316" s="1893"/>
      <c r="F316" s="1893"/>
      <c r="G316" s="1087"/>
      <c r="H316" s="1087" t="s">
        <v>101</v>
      </c>
      <c r="I316" s="1089"/>
      <c r="J316" s="1087"/>
      <c r="K316" s="1090"/>
      <c r="L316" s="1084"/>
      <c r="M316" s="1084"/>
      <c r="N316" s="1084"/>
      <c r="O316" s="1084"/>
      <c r="P316" s="1084"/>
      <c r="Q316" s="1091"/>
    </row>
    <row r="317" spans="1:17">
      <c r="A317" s="1126"/>
      <c r="B317" s="1084"/>
      <c r="C317" s="1893"/>
      <c r="D317" s="1893"/>
      <c r="E317" s="1893"/>
      <c r="F317" s="1893"/>
      <c r="G317" s="1087"/>
      <c r="H317" s="1087"/>
      <c r="I317" s="1089"/>
      <c r="J317" s="1087"/>
      <c r="K317" s="1090"/>
      <c r="L317" s="1084"/>
      <c r="M317" s="1084"/>
      <c r="N317" s="1084"/>
      <c r="O317" s="1084"/>
      <c r="P317" s="1084"/>
      <c r="Q317" s="1091"/>
    </row>
    <row r="318" spans="1:17" ht="15" customHeight="1">
      <c r="A318" s="1126" t="s">
        <v>1549</v>
      </c>
      <c r="B318" s="1084"/>
      <c r="C318" s="1882" t="s">
        <v>1550</v>
      </c>
      <c r="D318" s="1882"/>
      <c r="E318" s="1882"/>
      <c r="F318" s="1882"/>
      <c r="G318" s="1882"/>
      <c r="H318" s="1882"/>
      <c r="I318" s="1882"/>
      <c r="J318" s="1882"/>
      <c r="K318" s="1090"/>
      <c r="L318" s="1084"/>
      <c r="M318" s="1084"/>
      <c r="N318" s="1084"/>
      <c r="O318" s="1084"/>
      <c r="P318" s="1084"/>
      <c r="Q318" s="1091"/>
    </row>
    <row r="319" spans="1:17">
      <c r="A319" s="1126"/>
      <c r="B319" s="1084"/>
      <c r="C319" s="1882"/>
      <c r="D319" s="1882"/>
      <c r="E319" s="1882"/>
      <c r="F319" s="1882"/>
      <c r="G319" s="1882"/>
      <c r="H319" s="1882"/>
      <c r="I319" s="1882"/>
      <c r="J319" s="1882"/>
      <c r="K319" s="1090"/>
      <c r="L319" s="1084"/>
      <c r="M319" s="1084"/>
      <c r="N319" s="1084"/>
      <c r="O319" s="1084"/>
      <c r="P319" s="1084"/>
      <c r="Q319" s="1091"/>
    </row>
    <row r="320" spans="1:17">
      <c r="A320" s="1126"/>
      <c r="B320" s="1084"/>
      <c r="C320" s="1882"/>
      <c r="D320" s="1882"/>
      <c r="E320" s="1882"/>
      <c r="F320" s="1882"/>
      <c r="G320" s="1882"/>
      <c r="H320" s="1882"/>
      <c r="I320" s="1882"/>
      <c r="J320" s="1882"/>
      <c r="K320" s="1090"/>
      <c r="L320" s="1084"/>
      <c r="M320" s="1084"/>
      <c r="N320" s="1084"/>
      <c r="O320" s="1084"/>
      <c r="P320" s="1084"/>
      <c r="Q320" s="1091"/>
    </row>
    <row r="321" spans="1:17">
      <c r="A321" s="1126"/>
      <c r="B321" s="1084"/>
      <c r="C321" s="1882"/>
      <c r="D321" s="1882"/>
      <c r="E321" s="1882"/>
      <c r="F321" s="1882"/>
      <c r="G321" s="1882"/>
      <c r="H321" s="1882"/>
      <c r="I321" s="1882"/>
      <c r="J321" s="1882"/>
      <c r="K321" s="1090"/>
      <c r="L321" s="1084"/>
      <c r="M321" s="1084"/>
      <c r="N321" s="1084"/>
      <c r="O321" s="1084"/>
      <c r="P321" s="1084"/>
      <c r="Q321" s="1091"/>
    </row>
    <row r="322" spans="1:17">
      <c r="A322" s="1126"/>
      <c r="B322" s="1084"/>
      <c r="C322" s="1882"/>
      <c r="D322" s="1882"/>
      <c r="E322" s="1882"/>
      <c r="F322" s="1882"/>
      <c r="G322" s="1882"/>
      <c r="H322" s="1882"/>
      <c r="I322" s="1882"/>
      <c r="J322" s="1882"/>
      <c r="K322" s="1090"/>
      <c r="L322" s="1084"/>
      <c r="M322" s="1084"/>
      <c r="N322" s="1084"/>
      <c r="O322" s="1084"/>
      <c r="P322" s="1084"/>
      <c r="Q322" s="1091"/>
    </row>
    <row r="323" spans="1:17">
      <c r="A323" s="1126"/>
      <c r="B323" s="1084"/>
      <c r="C323" s="1882"/>
      <c r="D323" s="1882"/>
      <c r="E323" s="1882"/>
      <c r="F323" s="1882"/>
      <c r="G323" s="1882"/>
      <c r="H323" s="1882"/>
      <c r="I323" s="1882"/>
      <c r="J323" s="1882"/>
      <c r="K323" s="1090"/>
      <c r="L323" s="1084"/>
      <c r="M323" s="1084"/>
      <c r="N323" s="1084"/>
      <c r="O323" s="1084"/>
      <c r="P323" s="1084"/>
      <c r="Q323" s="1091"/>
    </row>
    <row r="324" spans="1:17" ht="15" customHeight="1">
      <c r="A324" s="1126" t="s">
        <v>1551</v>
      </c>
      <c r="B324" s="1084"/>
      <c r="C324" s="1882" t="s">
        <v>1552</v>
      </c>
      <c r="D324" s="1882"/>
      <c r="E324" s="1882"/>
      <c r="F324" s="1882"/>
      <c r="G324" s="1087"/>
      <c r="H324" s="1087"/>
      <c r="I324" s="1089"/>
      <c r="J324" s="1087"/>
      <c r="K324" s="1090"/>
      <c r="L324" s="1084"/>
      <c r="M324" s="1084"/>
      <c r="N324" s="1084"/>
      <c r="O324" s="1084"/>
      <c r="P324" s="1084"/>
      <c r="Q324" s="1091"/>
    </row>
    <row r="325" spans="1:17">
      <c r="A325" s="1126"/>
      <c r="B325" s="1084"/>
      <c r="C325" s="1882"/>
      <c r="D325" s="1882"/>
      <c r="E325" s="1882"/>
      <c r="F325" s="1882"/>
      <c r="G325" s="1087"/>
      <c r="H325" s="1087"/>
      <c r="I325" s="1089"/>
      <c r="J325" s="1087"/>
      <c r="K325" s="1090"/>
      <c r="L325" s="1084"/>
      <c r="M325" s="1084"/>
      <c r="N325" s="1084"/>
      <c r="O325" s="1084"/>
      <c r="P325" s="1084"/>
      <c r="Q325" s="1091"/>
    </row>
    <row r="326" spans="1:17">
      <c r="A326" s="1126"/>
      <c r="B326" s="1084"/>
      <c r="C326" s="1882"/>
      <c r="D326" s="1882"/>
      <c r="E326" s="1882"/>
      <c r="F326" s="1882"/>
      <c r="G326" s="1087"/>
      <c r="H326" s="1087"/>
      <c r="I326" s="1089"/>
      <c r="J326" s="1087"/>
      <c r="K326" s="1090"/>
      <c r="L326" s="1084"/>
      <c r="M326" s="1084"/>
      <c r="N326" s="1084"/>
      <c r="O326" s="1084"/>
      <c r="P326" s="1084"/>
      <c r="Q326" s="1091"/>
    </row>
    <row r="327" spans="1:17">
      <c r="A327" s="1126"/>
      <c r="B327" s="1084"/>
      <c r="C327" s="1882"/>
      <c r="D327" s="1882"/>
      <c r="E327" s="1882"/>
      <c r="F327" s="1882"/>
      <c r="G327" s="1087"/>
      <c r="H327" s="1087"/>
      <c r="I327" s="1089"/>
      <c r="J327" s="1087"/>
      <c r="K327" s="1090"/>
      <c r="L327" s="1084"/>
      <c r="M327" s="1084"/>
      <c r="N327" s="1084"/>
      <c r="O327" s="1084"/>
      <c r="P327" s="1084"/>
      <c r="Q327" s="1091"/>
    </row>
    <row r="328" spans="1:17">
      <c r="A328" s="1126"/>
      <c r="B328" s="1084"/>
      <c r="C328" s="1882"/>
      <c r="D328" s="1882"/>
      <c r="E328" s="1882"/>
      <c r="F328" s="1882"/>
      <c r="G328" s="1087"/>
      <c r="H328" s="1087"/>
      <c r="I328" s="1089"/>
      <c r="J328" s="1087"/>
      <c r="K328" s="1090"/>
      <c r="L328" s="1084"/>
      <c r="M328" s="1084"/>
      <c r="N328" s="1084"/>
      <c r="O328" s="1084"/>
      <c r="P328" s="1084"/>
      <c r="Q328" s="1091"/>
    </row>
    <row r="329" spans="1:17">
      <c r="A329" s="1126"/>
      <c r="B329" s="1084"/>
      <c r="C329" s="1882"/>
      <c r="D329" s="1882"/>
      <c r="E329" s="1882"/>
      <c r="F329" s="1882"/>
      <c r="G329" s="1087"/>
      <c r="H329" s="1087"/>
      <c r="I329" s="1089"/>
      <c r="J329" s="1087"/>
      <c r="K329" s="1090"/>
      <c r="L329" s="1084"/>
      <c r="M329" s="1084"/>
      <c r="N329" s="1084"/>
      <c r="O329" s="1084"/>
      <c r="P329" s="1084"/>
      <c r="Q329" s="1091"/>
    </row>
    <row r="330" spans="1:17">
      <c r="A330" s="1126"/>
      <c r="B330" s="1084"/>
      <c r="C330" s="1882"/>
      <c r="D330" s="1882"/>
      <c r="E330" s="1882"/>
      <c r="F330" s="1882"/>
      <c r="G330" s="1087"/>
      <c r="H330" s="1087"/>
      <c r="I330" s="1089"/>
      <c r="J330" s="1087"/>
      <c r="K330" s="1090"/>
      <c r="L330" s="1084"/>
      <c r="M330" s="1084"/>
      <c r="N330" s="1084"/>
      <c r="O330" s="1084"/>
      <c r="P330" s="1084"/>
      <c r="Q330" s="1091"/>
    </row>
    <row r="331" spans="1:17">
      <c r="A331" s="1126" t="s">
        <v>1553</v>
      </c>
      <c r="B331" s="1084"/>
      <c r="C331" s="1882" t="s">
        <v>1554</v>
      </c>
      <c r="D331" s="1882"/>
      <c r="E331" s="1882"/>
      <c r="F331" s="1882"/>
      <c r="G331" s="1087"/>
      <c r="H331" s="1087"/>
      <c r="I331" s="1089"/>
      <c r="J331" s="1087"/>
      <c r="K331" s="1090"/>
      <c r="L331" s="1084"/>
      <c r="M331" s="1084"/>
      <c r="N331" s="1084"/>
      <c r="O331" s="1084"/>
      <c r="P331" s="1084"/>
      <c r="Q331" s="1091"/>
    </row>
    <row r="332" spans="1:17">
      <c r="A332" s="1126"/>
      <c r="B332" s="1084"/>
      <c r="C332" s="1882"/>
      <c r="D332" s="1882"/>
      <c r="E332" s="1882"/>
      <c r="F332" s="1882"/>
      <c r="G332" s="1087"/>
      <c r="H332" s="1087"/>
      <c r="I332" s="1089"/>
      <c r="J332" s="1087"/>
      <c r="K332" s="1090"/>
      <c r="L332" s="1084"/>
      <c r="M332" s="1084"/>
      <c r="N332" s="1084"/>
      <c r="O332" s="1084"/>
      <c r="P332" s="1084"/>
      <c r="Q332" s="1091"/>
    </row>
    <row r="333" spans="1:17" ht="14.5" thickBot="1">
      <c r="A333" s="1127"/>
      <c r="B333" s="1116"/>
      <c r="C333" s="1883"/>
      <c r="D333" s="1883"/>
      <c r="E333" s="1883"/>
      <c r="F333" s="1883"/>
      <c r="G333" s="1117"/>
      <c r="H333" s="1117"/>
      <c r="I333" s="1118"/>
      <c r="J333" s="1117"/>
      <c r="K333" s="1119"/>
      <c r="L333" s="1116"/>
      <c r="M333" s="1116"/>
      <c r="N333" s="1116"/>
      <c r="O333" s="1116"/>
      <c r="P333" s="1116"/>
      <c r="Q333" s="1120"/>
    </row>
    <row r="335" spans="1:17" ht="14.5" thickBot="1"/>
    <row r="336" spans="1:17" ht="18.5" thickBot="1">
      <c r="A336" s="1879" t="s">
        <v>1977</v>
      </c>
      <c r="B336" s="1880"/>
      <c r="C336" s="1880"/>
      <c r="D336" s="1880"/>
      <c r="E336" s="1880"/>
      <c r="F336" s="1880"/>
      <c r="G336" s="1880"/>
      <c r="H336" s="1880"/>
      <c r="I336" s="1880"/>
      <c r="J336" s="1881"/>
    </row>
    <row r="338" spans="2:7" ht="25.5">
      <c r="B338" s="1737" t="s">
        <v>1978</v>
      </c>
      <c r="C338" s="1737" t="s">
        <v>1501</v>
      </c>
      <c r="D338" s="1737" t="s">
        <v>1979</v>
      </c>
      <c r="E338" s="1738" t="s">
        <v>1980</v>
      </c>
      <c r="F338" s="1737" t="s">
        <v>1981</v>
      </c>
      <c r="G338" s="1737" t="s">
        <v>1982</v>
      </c>
    </row>
    <row r="339" spans="2:7">
      <c r="B339" s="1739">
        <v>1</v>
      </c>
      <c r="C339" s="1231" t="s">
        <v>1934</v>
      </c>
      <c r="D339" s="1740" t="s">
        <v>1983</v>
      </c>
      <c r="E339" s="1740" t="s">
        <v>1984</v>
      </c>
      <c r="F339" s="1741" t="s">
        <v>385</v>
      </c>
      <c r="G339" s="1741" t="s">
        <v>1985</v>
      </c>
    </row>
    <row r="340" spans="2:7">
      <c r="B340" s="1739">
        <f>B339+1</f>
        <v>2</v>
      </c>
      <c r="C340" s="1231" t="s">
        <v>1935</v>
      </c>
      <c r="D340" s="1740" t="s">
        <v>1983</v>
      </c>
      <c r="E340" s="1740" t="s">
        <v>1986</v>
      </c>
      <c r="F340" s="1741" t="s">
        <v>1936</v>
      </c>
      <c r="G340" s="1741" t="s">
        <v>1987</v>
      </c>
    </row>
    <row r="341" spans="2:7">
      <c r="B341" s="1739">
        <f t="shared" ref="B341:B404" si="20">B340+1</f>
        <v>3</v>
      </c>
      <c r="C341" s="1231" t="s">
        <v>1938</v>
      </c>
      <c r="D341" s="1740" t="s">
        <v>1983</v>
      </c>
      <c r="E341" s="1740" t="s">
        <v>1988</v>
      </c>
      <c r="F341" s="1741" t="s">
        <v>1936</v>
      </c>
      <c r="G341" s="1741" t="s">
        <v>1987</v>
      </c>
    </row>
    <row r="342" spans="2:7">
      <c r="B342" s="1739">
        <f t="shared" si="20"/>
        <v>4</v>
      </c>
      <c r="C342" s="1231" t="s">
        <v>1942</v>
      </c>
      <c r="D342" s="1740" t="s">
        <v>1983</v>
      </c>
      <c r="E342" s="1740" t="s">
        <v>1989</v>
      </c>
      <c r="F342" s="1741" t="s">
        <v>387</v>
      </c>
      <c r="G342" s="1741" t="s">
        <v>1990</v>
      </c>
    </row>
    <row r="343" spans="2:7">
      <c r="B343" s="1739">
        <f t="shared" si="20"/>
        <v>5</v>
      </c>
      <c r="C343" s="1231" t="s">
        <v>1944</v>
      </c>
      <c r="D343" s="1740" t="s">
        <v>1983</v>
      </c>
      <c r="E343" s="1740" t="s">
        <v>1991</v>
      </c>
      <c r="F343" s="1741" t="s">
        <v>1936</v>
      </c>
      <c r="G343" s="1741" t="s">
        <v>1987</v>
      </c>
    </row>
    <row r="344" spans="2:7">
      <c r="B344" s="1739">
        <f t="shared" si="20"/>
        <v>6</v>
      </c>
      <c r="C344" s="1231" t="s">
        <v>1946</v>
      </c>
      <c r="D344" s="1740" t="s">
        <v>1983</v>
      </c>
      <c r="E344" s="1740" t="s">
        <v>1992</v>
      </c>
      <c r="F344" s="1741" t="s">
        <v>1936</v>
      </c>
      <c r="G344" s="1741" t="s">
        <v>1987</v>
      </c>
    </row>
    <row r="345" spans="2:7">
      <c r="B345" s="1739">
        <f t="shared" si="20"/>
        <v>7</v>
      </c>
      <c r="C345" s="1231" t="s">
        <v>388</v>
      </c>
      <c r="D345" s="1740" t="s">
        <v>1983</v>
      </c>
      <c r="E345" s="1740" t="s">
        <v>1993</v>
      </c>
      <c r="F345" s="1741" t="s">
        <v>389</v>
      </c>
      <c r="G345" s="1741" t="s">
        <v>1994</v>
      </c>
    </row>
    <row r="346" spans="2:7">
      <c r="B346" s="1739">
        <f t="shared" si="20"/>
        <v>8</v>
      </c>
      <c r="C346" s="1231" t="s">
        <v>1949</v>
      </c>
      <c r="D346" s="314" t="s">
        <v>1983</v>
      </c>
      <c r="E346" s="314" t="s">
        <v>1995</v>
      </c>
      <c r="F346" s="314" t="s">
        <v>1936</v>
      </c>
      <c r="G346" s="314" t="s">
        <v>1987</v>
      </c>
    </row>
    <row r="347" spans="2:7">
      <c r="B347" s="1739">
        <f t="shared" si="20"/>
        <v>9</v>
      </c>
      <c r="C347" s="1231" t="s">
        <v>1950</v>
      </c>
      <c r="D347" s="314" t="s">
        <v>1983</v>
      </c>
      <c r="E347" s="314" t="s">
        <v>1996</v>
      </c>
      <c r="F347" s="314" t="s">
        <v>1936</v>
      </c>
      <c r="G347" s="314" t="s">
        <v>1987</v>
      </c>
    </row>
    <row r="348" spans="2:7" ht="38">
      <c r="B348" s="1739">
        <f t="shared" si="20"/>
        <v>10</v>
      </c>
      <c r="C348" s="1231" t="s">
        <v>186</v>
      </c>
      <c r="D348" s="1740" t="s">
        <v>1983</v>
      </c>
      <c r="E348" s="1740" t="s">
        <v>1997</v>
      </c>
      <c r="F348" s="1741" t="s">
        <v>934</v>
      </c>
      <c r="G348" s="1741" t="s">
        <v>1998</v>
      </c>
    </row>
    <row r="349" spans="2:7" ht="38">
      <c r="B349" s="1739">
        <f t="shared" si="20"/>
        <v>11</v>
      </c>
      <c r="C349" s="314" t="s">
        <v>188</v>
      </c>
      <c r="D349" s="1740" t="s">
        <v>1983</v>
      </c>
      <c r="E349" s="1740" t="s">
        <v>1999</v>
      </c>
      <c r="F349" s="1741" t="s">
        <v>1014</v>
      </c>
      <c r="G349" s="1741" t="s">
        <v>2000</v>
      </c>
    </row>
    <row r="350" spans="2:7" ht="38">
      <c r="B350" s="1739">
        <f t="shared" si="20"/>
        <v>12</v>
      </c>
      <c r="C350" s="314" t="s">
        <v>401</v>
      </c>
      <c r="D350" s="1740" t="s">
        <v>1983</v>
      </c>
      <c r="E350" s="1740" t="s">
        <v>2001</v>
      </c>
      <c r="F350" s="1741" t="s">
        <v>1032</v>
      </c>
      <c r="G350" s="1741" t="s">
        <v>2002</v>
      </c>
    </row>
    <row r="351" spans="2:7" ht="50.5">
      <c r="B351" s="1739">
        <f t="shared" si="20"/>
        <v>13</v>
      </c>
      <c r="C351" s="314" t="s">
        <v>189</v>
      </c>
      <c r="D351" s="1740" t="s">
        <v>1983</v>
      </c>
      <c r="E351" s="1740" t="s">
        <v>2003</v>
      </c>
      <c r="F351" s="1741" t="s">
        <v>1033</v>
      </c>
      <c r="G351" s="1741" t="s">
        <v>2004</v>
      </c>
    </row>
    <row r="352" spans="2:7">
      <c r="B352" s="1739">
        <f t="shared" si="20"/>
        <v>14</v>
      </c>
      <c r="C352" s="314" t="s">
        <v>446</v>
      </c>
      <c r="D352" s="1740" t="s">
        <v>1983</v>
      </c>
      <c r="E352" s="1740" t="s">
        <v>2005</v>
      </c>
      <c r="F352" s="1741" t="s">
        <v>447</v>
      </c>
      <c r="G352" s="1741" t="s">
        <v>2006</v>
      </c>
    </row>
    <row r="353" spans="2:7">
      <c r="B353" s="1739">
        <f t="shared" si="20"/>
        <v>15</v>
      </c>
      <c r="C353" s="314" t="s">
        <v>450</v>
      </c>
      <c r="D353" s="1740" t="s">
        <v>1983</v>
      </c>
      <c r="E353" s="1740" t="s">
        <v>2007</v>
      </c>
      <c r="F353" s="1741" t="s">
        <v>451</v>
      </c>
      <c r="G353" s="1741" t="s">
        <v>2008</v>
      </c>
    </row>
    <row r="354" spans="2:7">
      <c r="B354" s="1739">
        <f t="shared" si="20"/>
        <v>16</v>
      </c>
      <c r="C354" s="314" t="s">
        <v>456</v>
      </c>
      <c r="D354" s="1740" t="s">
        <v>1983</v>
      </c>
      <c r="E354" s="1740" t="s">
        <v>2009</v>
      </c>
      <c r="F354" s="1741" t="s">
        <v>457</v>
      </c>
      <c r="G354" s="1741" t="s">
        <v>2010</v>
      </c>
    </row>
    <row r="355" spans="2:7">
      <c r="B355" s="1739">
        <f t="shared" si="20"/>
        <v>17</v>
      </c>
      <c r="C355" s="314" t="s">
        <v>458</v>
      </c>
      <c r="D355" s="1740" t="s">
        <v>1983</v>
      </c>
      <c r="E355" s="1740" t="s">
        <v>2011</v>
      </c>
      <c r="F355" s="1741" t="s">
        <v>83</v>
      </c>
      <c r="G355" s="1741" t="s">
        <v>2012</v>
      </c>
    </row>
    <row r="356" spans="2:7">
      <c r="B356" s="1739">
        <f t="shared" si="20"/>
        <v>18</v>
      </c>
      <c r="C356" s="314" t="s">
        <v>459</v>
      </c>
      <c r="D356" s="1740" t="s">
        <v>1983</v>
      </c>
      <c r="E356" s="1740" t="s">
        <v>2013</v>
      </c>
      <c r="F356" s="1741" t="s">
        <v>460</v>
      </c>
      <c r="G356" s="1741" t="s">
        <v>2014</v>
      </c>
    </row>
    <row r="357" spans="2:7">
      <c r="B357" s="1739">
        <f t="shared" si="20"/>
        <v>19</v>
      </c>
      <c r="C357" s="314" t="s">
        <v>81</v>
      </c>
      <c r="D357" s="1740" t="s">
        <v>1983</v>
      </c>
      <c r="E357" s="1740" t="s">
        <v>2015</v>
      </c>
      <c r="F357" s="1741" t="s">
        <v>83</v>
      </c>
      <c r="G357" s="1741" t="s">
        <v>2012</v>
      </c>
    </row>
    <row r="358" spans="2:7">
      <c r="B358" s="1739">
        <f t="shared" si="20"/>
        <v>20</v>
      </c>
      <c r="C358" s="314" t="s">
        <v>467</v>
      </c>
      <c r="D358" s="1740" t="s">
        <v>1983</v>
      </c>
      <c r="E358" s="1740" t="s">
        <v>2016</v>
      </c>
      <c r="F358" s="1741" t="s">
        <v>460</v>
      </c>
      <c r="G358" s="1741" t="s">
        <v>2014</v>
      </c>
    </row>
    <row r="359" spans="2:7">
      <c r="B359" s="1739">
        <f t="shared" si="20"/>
        <v>21</v>
      </c>
      <c r="C359" s="314" t="s">
        <v>469</v>
      </c>
      <c r="D359" s="1740" t="s">
        <v>1983</v>
      </c>
      <c r="E359" s="1740" t="s">
        <v>2017</v>
      </c>
      <c r="F359" s="1741" t="s">
        <v>457</v>
      </c>
      <c r="G359" s="1741" t="s">
        <v>2010</v>
      </c>
    </row>
    <row r="360" spans="2:7">
      <c r="B360" s="1739">
        <f t="shared" si="20"/>
        <v>22</v>
      </c>
      <c r="C360" s="314" t="s">
        <v>467</v>
      </c>
      <c r="D360" s="1740" t="s">
        <v>1983</v>
      </c>
      <c r="E360" s="1740" t="s">
        <v>2018</v>
      </c>
      <c r="F360" s="1741" t="s">
        <v>460</v>
      </c>
      <c r="G360" s="1741" t="s">
        <v>2014</v>
      </c>
    </row>
    <row r="361" spans="2:7" ht="25.5">
      <c r="B361" s="1739">
        <f t="shared" si="20"/>
        <v>23</v>
      </c>
      <c r="C361" s="314" t="s">
        <v>473</v>
      </c>
      <c r="D361" s="1740" t="s">
        <v>1983</v>
      </c>
      <c r="E361" s="1740" t="s">
        <v>2019</v>
      </c>
      <c r="F361" s="1741" t="s">
        <v>1044</v>
      </c>
      <c r="G361" s="1741" t="s">
        <v>2020</v>
      </c>
    </row>
    <row r="362" spans="2:7" ht="25.5">
      <c r="B362" s="1739">
        <f t="shared" si="20"/>
        <v>24</v>
      </c>
      <c r="C362" s="314" t="s">
        <v>192</v>
      </c>
      <c r="D362" s="1740" t="s">
        <v>1983</v>
      </c>
      <c r="E362" s="1740" t="s">
        <v>2021</v>
      </c>
      <c r="F362" s="1741" t="s">
        <v>1045</v>
      </c>
      <c r="G362" s="1741" t="s">
        <v>2022</v>
      </c>
    </row>
    <row r="363" spans="2:7" ht="25.5">
      <c r="B363" s="1739">
        <f t="shared" si="20"/>
        <v>25</v>
      </c>
      <c r="C363" s="314" t="s">
        <v>476</v>
      </c>
      <c r="D363" s="1740" t="s">
        <v>1983</v>
      </c>
      <c r="E363" s="1740" t="s">
        <v>2023</v>
      </c>
      <c r="F363" s="1741" t="s">
        <v>1046</v>
      </c>
      <c r="G363" s="1741" t="s">
        <v>2024</v>
      </c>
    </row>
    <row r="364" spans="2:7" ht="25.5">
      <c r="B364" s="1739">
        <f t="shared" si="20"/>
        <v>26</v>
      </c>
      <c r="C364" s="314" t="s">
        <v>478</v>
      </c>
      <c r="D364" s="1740" t="s">
        <v>1983</v>
      </c>
      <c r="E364" s="1740" t="s">
        <v>2025</v>
      </c>
      <c r="F364" s="1741" t="s">
        <v>1047</v>
      </c>
      <c r="G364" s="1741" t="s">
        <v>2026</v>
      </c>
    </row>
    <row r="365" spans="2:7" ht="25.5">
      <c r="B365" s="1739">
        <f t="shared" si="20"/>
        <v>27</v>
      </c>
      <c r="C365" s="314" t="s">
        <v>479</v>
      </c>
      <c r="D365" s="1740" t="s">
        <v>1983</v>
      </c>
      <c r="E365" s="1740" t="s">
        <v>2027</v>
      </c>
      <c r="F365" s="1741" t="s">
        <v>1048</v>
      </c>
      <c r="G365" s="1741" t="s">
        <v>2028</v>
      </c>
    </row>
    <row r="366" spans="2:7" ht="25.5">
      <c r="B366" s="1739">
        <f t="shared" si="20"/>
        <v>28</v>
      </c>
      <c r="C366" s="314" t="s">
        <v>2</v>
      </c>
      <c r="D366" s="1740" t="s">
        <v>1983</v>
      </c>
      <c r="E366" s="1740" t="s">
        <v>2029</v>
      </c>
      <c r="F366" s="1741" t="s">
        <v>487</v>
      </c>
      <c r="G366" s="1741" t="s">
        <v>2030</v>
      </c>
    </row>
    <row r="367" spans="2:7">
      <c r="B367" s="1739">
        <f t="shared" si="20"/>
        <v>29</v>
      </c>
      <c r="C367" s="314" t="s">
        <v>495</v>
      </c>
      <c r="D367" s="1740" t="s">
        <v>1983</v>
      </c>
      <c r="E367" s="1740" t="s">
        <v>2031</v>
      </c>
      <c r="F367" s="1741" t="s">
        <v>496</v>
      </c>
      <c r="G367" s="1741" t="s">
        <v>2032</v>
      </c>
    </row>
    <row r="368" spans="2:7">
      <c r="B368" s="1739">
        <f t="shared" si="20"/>
        <v>30</v>
      </c>
      <c r="C368" s="314" t="s">
        <v>498</v>
      </c>
      <c r="D368" s="1740" t="s">
        <v>1983</v>
      </c>
      <c r="E368" s="1740" t="s">
        <v>2033</v>
      </c>
      <c r="F368" s="1741" t="s">
        <v>499</v>
      </c>
      <c r="G368" s="1741" t="s">
        <v>2034</v>
      </c>
    </row>
    <row r="369" spans="2:7">
      <c r="B369" s="1739">
        <f t="shared" si="20"/>
        <v>31</v>
      </c>
      <c r="C369" s="314" t="s">
        <v>1378</v>
      </c>
      <c r="D369" s="1740" t="s">
        <v>1983</v>
      </c>
      <c r="E369" s="1740" t="s">
        <v>2035</v>
      </c>
      <c r="F369" s="1741" t="s">
        <v>1379</v>
      </c>
      <c r="G369" s="1741" t="s">
        <v>2036</v>
      </c>
    </row>
    <row r="370" spans="2:7">
      <c r="B370" s="1739">
        <f t="shared" si="20"/>
        <v>32</v>
      </c>
      <c r="C370" s="101" t="s">
        <v>500</v>
      </c>
      <c r="D370" s="1742" t="s">
        <v>2037</v>
      </c>
      <c r="E370" s="1742" t="s">
        <v>2038</v>
      </c>
      <c r="F370" s="101" t="s">
        <v>501</v>
      </c>
      <c r="G370" s="101" t="s">
        <v>2039</v>
      </c>
    </row>
    <row r="371" spans="2:7">
      <c r="B371" s="1739">
        <f t="shared" si="20"/>
        <v>33</v>
      </c>
      <c r="C371" s="101" t="s">
        <v>502</v>
      </c>
      <c r="D371" s="1742" t="s">
        <v>2037</v>
      </c>
      <c r="E371" s="1742" t="s">
        <v>2040</v>
      </c>
      <c r="F371" s="101" t="s">
        <v>503</v>
      </c>
      <c r="G371" s="101" t="s">
        <v>2041</v>
      </c>
    </row>
    <row r="372" spans="2:7">
      <c r="B372" s="1739">
        <f t="shared" si="20"/>
        <v>34</v>
      </c>
      <c r="C372" s="101" t="s">
        <v>504</v>
      </c>
      <c r="D372" s="1742" t="s">
        <v>2037</v>
      </c>
      <c r="E372" s="1742" t="s">
        <v>2042</v>
      </c>
      <c r="F372" s="101" t="s">
        <v>506</v>
      </c>
      <c r="G372" s="101" t="s">
        <v>2043</v>
      </c>
    </row>
    <row r="373" spans="2:7">
      <c r="B373" s="1739">
        <f t="shared" si="20"/>
        <v>35</v>
      </c>
      <c r="C373" s="314" t="s">
        <v>510</v>
      </c>
      <c r="D373" s="1740" t="s">
        <v>1983</v>
      </c>
      <c r="E373" s="1740" t="s">
        <v>2044</v>
      </c>
      <c r="F373" s="1741" t="s">
        <v>511</v>
      </c>
      <c r="G373" s="1741" t="s">
        <v>2045</v>
      </c>
    </row>
    <row r="374" spans="2:7" ht="25.5">
      <c r="B374" s="1739">
        <f t="shared" si="20"/>
        <v>36</v>
      </c>
      <c r="C374" s="314" t="s">
        <v>2046</v>
      </c>
      <c r="D374" s="1740" t="s">
        <v>1983</v>
      </c>
      <c r="E374" s="1740" t="s">
        <v>2047</v>
      </c>
      <c r="F374" s="1741" t="s">
        <v>2048</v>
      </c>
      <c r="G374" s="1741" t="s">
        <v>2049</v>
      </c>
    </row>
    <row r="375" spans="2:7">
      <c r="B375" s="1739">
        <f t="shared" si="20"/>
        <v>37</v>
      </c>
      <c r="C375" s="314" t="s">
        <v>2050</v>
      </c>
      <c r="D375" s="1740" t="s">
        <v>1983</v>
      </c>
      <c r="E375" s="1740" t="s">
        <v>2051</v>
      </c>
      <c r="F375" s="1741" t="s">
        <v>2052</v>
      </c>
      <c r="G375" s="1741" t="s">
        <v>2053</v>
      </c>
    </row>
    <row r="376" spans="2:7">
      <c r="B376" s="1739">
        <f t="shared" si="20"/>
        <v>38</v>
      </c>
      <c r="C376" s="314" t="s">
        <v>2054</v>
      </c>
      <c r="D376" s="1740" t="s">
        <v>1983</v>
      </c>
      <c r="E376" s="1740" t="s">
        <v>2055</v>
      </c>
      <c r="F376" s="1741" t="s">
        <v>2056</v>
      </c>
      <c r="G376" s="1741" t="s">
        <v>2057</v>
      </c>
    </row>
    <row r="377" spans="2:7" ht="38">
      <c r="B377" s="1739">
        <f t="shared" si="20"/>
        <v>39</v>
      </c>
      <c r="C377" s="314" t="s">
        <v>1081</v>
      </c>
      <c r="D377" s="1740" t="s">
        <v>2058</v>
      </c>
      <c r="E377" s="1740" t="s">
        <v>2059</v>
      </c>
      <c r="F377" s="1741" t="s">
        <v>1927</v>
      </c>
      <c r="G377" s="1741" t="s">
        <v>2060</v>
      </c>
    </row>
    <row r="378" spans="2:7" ht="63">
      <c r="B378" s="1739">
        <f t="shared" si="20"/>
        <v>40</v>
      </c>
      <c r="C378" s="314" t="s">
        <v>368</v>
      </c>
      <c r="D378" s="1740" t="s">
        <v>2058</v>
      </c>
      <c r="E378" s="1740" t="s">
        <v>2061</v>
      </c>
      <c r="F378" s="1741" t="s">
        <v>1104</v>
      </c>
      <c r="G378" s="1741" t="s">
        <v>2062</v>
      </c>
    </row>
    <row r="379" spans="2:7" ht="38">
      <c r="B379" s="1739">
        <f t="shared" si="20"/>
        <v>41</v>
      </c>
      <c r="C379" s="314" t="s">
        <v>1108</v>
      </c>
      <c r="D379" s="1740" t="s">
        <v>2058</v>
      </c>
      <c r="E379" s="1740" t="s">
        <v>2063</v>
      </c>
      <c r="F379" s="1741" t="s">
        <v>1102</v>
      </c>
      <c r="G379" s="1741" t="s">
        <v>2064</v>
      </c>
    </row>
    <row r="380" spans="2:7" ht="63">
      <c r="B380" s="1739">
        <f t="shared" si="20"/>
        <v>42</v>
      </c>
      <c r="C380" s="314" t="s">
        <v>376</v>
      </c>
      <c r="D380" s="1740" t="s">
        <v>2058</v>
      </c>
      <c r="E380" s="1740" t="s">
        <v>2065</v>
      </c>
      <c r="F380" s="1741" t="s">
        <v>1104</v>
      </c>
      <c r="G380" s="1741" t="s">
        <v>2062</v>
      </c>
    </row>
    <row r="381" spans="2:7" ht="38">
      <c r="B381" s="1739">
        <f t="shared" si="20"/>
        <v>43</v>
      </c>
      <c r="C381" s="314" t="s">
        <v>1081</v>
      </c>
      <c r="D381" s="1740" t="s">
        <v>2066</v>
      </c>
      <c r="E381" s="1740" t="s">
        <v>2059</v>
      </c>
      <c r="F381" s="1741" t="s">
        <v>1927</v>
      </c>
      <c r="G381" s="1741" t="s">
        <v>2060</v>
      </c>
    </row>
    <row r="382" spans="2:7" ht="63">
      <c r="B382" s="1739">
        <f t="shared" si="20"/>
        <v>44</v>
      </c>
      <c r="C382" s="314" t="s">
        <v>368</v>
      </c>
      <c r="D382" s="1740" t="s">
        <v>2066</v>
      </c>
      <c r="E382" s="1740" t="s">
        <v>2061</v>
      </c>
      <c r="F382" s="1741" t="s">
        <v>1104</v>
      </c>
      <c r="G382" s="1741" t="s">
        <v>2062</v>
      </c>
    </row>
    <row r="383" spans="2:7" ht="38">
      <c r="B383" s="1739">
        <f t="shared" si="20"/>
        <v>45</v>
      </c>
      <c r="C383" s="314" t="s">
        <v>1108</v>
      </c>
      <c r="D383" s="1740" t="s">
        <v>2066</v>
      </c>
      <c r="E383" s="1740" t="s">
        <v>2063</v>
      </c>
      <c r="F383" s="1741" t="s">
        <v>1102</v>
      </c>
      <c r="G383" s="1741" t="s">
        <v>2064</v>
      </c>
    </row>
    <row r="384" spans="2:7" ht="63">
      <c r="B384" s="1739">
        <f t="shared" si="20"/>
        <v>46</v>
      </c>
      <c r="C384" s="314" t="s">
        <v>376</v>
      </c>
      <c r="D384" s="1740" t="s">
        <v>2066</v>
      </c>
      <c r="E384" s="1740" t="s">
        <v>2065</v>
      </c>
      <c r="F384" s="1741" t="s">
        <v>1104</v>
      </c>
      <c r="G384" s="1741" t="s">
        <v>2062</v>
      </c>
    </row>
    <row r="385" spans="2:7" ht="50.5">
      <c r="B385" s="1739">
        <f t="shared" si="20"/>
        <v>47</v>
      </c>
      <c r="C385" s="314" t="s">
        <v>291</v>
      </c>
      <c r="D385" s="1740" t="s">
        <v>2067</v>
      </c>
      <c r="E385" s="1740" t="s">
        <v>2068</v>
      </c>
      <c r="F385" s="1741" t="s">
        <v>332</v>
      </c>
      <c r="G385" s="1741" t="s">
        <v>2069</v>
      </c>
    </row>
    <row r="386" spans="2:7" ht="38">
      <c r="B386" s="1739">
        <f t="shared" si="20"/>
        <v>48</v>
      </c>
      <c r="C386" s="314" t="s">
        <v>188</v>
      </c>
      <c r="D386" s="1742" t="s">
        <v>2070</v>
      </c>
      <c r="E386" s="1742" t="s">
        <v>2071</v>
      </c>
      <c r="F386" s="1741" t="s">
        <v>1140</v>
      </c>
      <c r="G386" s="1741" t="s">
        <v>2072</v>
      </c>
    </row>
    <row r="387" spans="2:7" ht="25.5">
      <c r="B387" s="1739">
        <f t="shared" si="20"/>
        <v>49</v>
      </c>
      <c r="C387" s="314" t="s">
        <v>417</v>
      </c>
      <c r="D387" s="1742" t="s">
        <v>2070</v>
      </c>
      <c r="E387" s="1742" t="s">
        <v>2073</v>
      </c>
      <c r="F387" s="1741" t="s">
        <v>1138</v>
      </c>
      <c r="G387" s="1741" t="s">
        <v>2074</v>
      </c>
    </row>
    <row r="388" spans="2:7">
      <c r="B388" s="1739">
        <f t="shared" si="20"/>
        <v>50</v>
      </c>
      <c r="C388" s="314" t="s">
        <v>450</v>
      </c>
      <c r="D388" s="1742" t="s">
        <v>2070</v>
      </c>
      <c r="E388" s="1742" t="s">
        <v>2075</v>
      </c>
      <c r="F388" s="1741" t="s">
        <v>451</v>
      </c>
      <c r="G388" s="1741" t="s">
        <v>2008</v>
      </c>
    </row>
    <row r="389" spans="2:7" ht="38">
      <c r="B389" s="1739">
        <f t="shared" si="20"/>
        <v>51</v>
      </c>
      <c r="C389" s="314" t="s">
        <v>84</v>
      </c>
      <c r="D389" s="1742" t="s">
        <v>2070</v>
      </c>
      <c r="E389" s="1742" t="s">
        <v>2076</v>
      </c>
      <c r="F389" s="1741" t="s">
        <v>1139</v>
      </c>
      <c r="G389" s="1741" t="s">
        <v>2077</v>
      </c>
    </row>
    <row r="390" spans="2:7" ht="38">
      <c r="B390" s="1739">
        <f t="shared" si="20"/>
        <v>52</v>
      </c>
      <c r="C390" s="314" t="s">
        <v>84</v>
      </c>
      <c r="D390" s="1742" t="s">
        <v>2070</v>
      </c>
      <c r="E390" s="1742" t="s">
        <v>2078</v>
      </c>
      <c r="F390" s="1741" t="s">
        <v>1146</v>
      </c>
      <c r="G390" s="1741" t="s">
        <v>2079</v>
      </c>
    </row>
    <row r="391" spans="2:7">
      <c r="B391" s="1739">
        <f t="shared" si="20"/>
        <v>53</v>
      </c>
      <c r="C391" s="1743" t="s">
        <v>458</v>
      </c>
      <c r="D391" s="1742" t="s">
        <v>2070</v>
      </c>
      <c r="E391" s="1742" t="s">
        <v>2080</v>
      </c>
      <c r="F391" s="1741" t="s">
        <v>83</v>
      </c>
      <c r="G391" s="1741" t="s">
        <v>2012</v>
      </c>
    </row>
    <row r="392" spans="2:7">
      <c r="B392" s="1739">
        <f t="shared" si="20"/>
        <v>54</v>
      </c>
      <c r="C392" s="314" t="s">
        <v>81</v>
      </c>
      <c r="D392" s="1742" t="s">
        <v>2070</v>
      </c>
      <c r="E392" s="1742" t="s">
        <v>2081</v>
      </c>
      <c r="F392" s="1741" t="s">
        <v>83</v>
      </c>
      <c r="G392" s="1741" t="s">
        <v>2012</v>
      </c>
    </row>
    <row r="393" spans="2:7">
      <c r="B393" s="1739">
        <f t="shared" si="20"/>
        <v>55</v>
      </c>
      <c r="C393" s="314" t="s">
        <v>467</v>
      </c>
      <c r="D393" s="1742" t="s">
        <v>2070</v>
      </c>
      <c r="E393" s="1742" t="s">
        <v>2082</v>
      </c>
      <c r="F393" s="1741" t="s">
        <v>460</v>
      </c>
      <c r="G393" s="1741" t="s">
        <v>2014</v>
      </c>
    </row>
    <row r="394" spans="2:7">
      <c r="B394" s="1739">
        <f t="shared" si="20"/>
        <v>56</v>
      </c>
      <c r="C394" s="314" t="s">
        <v>467</v>
      </c>
      <c r="D394" s="1742" t="s">
        <v>2070</v>
      </c>
      <c r="E394" s="1742" t="s">
        <v>2083</v>
      </c>
      <c r="F394" s="1741" t="s">
        <v>460</v>
      </c>
      <c r="G394" s="1741" t="s">
        <v>2014</v>
      </c>
    </row>
    <row r="395" spans="2:7">
      <c r="B395" s="1739">
        <f t="shared" si="20"/>
        <v>57</v>
      </c>
      <c r="C395" s="314" t="s">
        <v>130</v>
      </c>
      <c r="D395" s="1742" t="s">
        <v>2070</v>
      </c>
      <c r="E395" s="1742" t="s">
        <v>2084</v>
      </c>
      <c r="F395" s="1741" t="s">
        <v>1243</v>
      </c>
      <c r="G395" s="1741" t="s">
        <v>2085</v>
      </c>
    </row>
    <row r="396" spans="2:7">
      <c r="B396" s="1739">
        <f t="shared" si="20"/>
        <v>58</v>
      </c>
      <c r="C396" s="1743" t="s">
        <v>186</v>
      </c>
      <c r="D396" s="1742" t="s">
        <v>2070</v>
      </c>
      <c r="E396" s="1742" t="s">
        <v>2086</v>
      </c>
      <c r="F396" s="1741" t="s">
        <v>1177</v>
      </c>
      <c r="G396" s="1741" t="s">
        <v>2087</v>
      </c>
    </row>
    <row r="397" spans="2:7">
      <c r="B397" s="1739">
        <f t="shared" si="20"/>
        <v>59</v>
      </c>
      <c r="C397" s="1743" t="s">
        <v>188</v>
      </c>
      <c r="D397" s="1742" t="s">
        <v>2070</v>
      </c>
      <c r="E397" s="1742" t="s">
        <v>2088</v>
      </c>
      <c r="F397" s="1741" t="s">
        <v>1179</v>
      </c>
      <c r="G397" s="1741" t="s">
        <v>2089</v>
      </c>
    </row>
    <row r="398" spans="2:7">
      <c r="B398" s="1739">
        <f t="shared" si="20"/>
        <v>60</v>
      </c>
      <c r="C398" s="1743" t="s">
        <v>401</v>
      </c>
      <c r="D398" s="1742" t="s">
        <v>2070</v>
      </c>
      <c r="E398" s="1742" t="s">
        <v>2090</v>
      </c>
      <c r="F398" s="1741" t="s">
        <v>1180</v>
      </c>
      <c r="G398" s="1741" t="s">
        <v>2091</v>
      </c>
    </row>
    <row r="399" spans="2:7" ht="25.5">
      <c r="B399" s="1739">
        <f t="shared" si="20"/>
        <v>61</v>
      </c>
      <c r="C399" s="1743" t="s">
        <v>189</v>
      </c>
      <c r="D399" s="1742" t="s">
        <v>2070</v>
      </c>
      <c r="E399" s="1742" t="s">
        <v>2092</v>
      </c>
      <c r="F399" s="1741" t="s">
        <v>1182</v>
      </c>
      <c r="G399" s="1741" t="s">
        <v>2093</v>
      </c>
    </row>
    <row r="400" spans="2:7" ht="25.5">
      <c r="B400" s="1739">
        <f t="shared" si="20"/>
        <v>62</v>
      </c>
      <c r="C400" s="314" t="s">
        <v>191</v>
      </c>
      <c r="D400" s="1742" t="s">
        <v>2070</v>
      </c>
      <c r="E400" s="1742" t="s">
        <v>2094</v>
      </c>
      <c r="F400" s="1741" t="s">
        <v>1194</v>
      </c>
      <c r="G400" s="1741" t="s">
        <v>2095</v>
      </c>
    </row>
    <row r="401" spans="2:7">
      <c r="B401" s="1739">
        <f t="shared" si="20"/>
        <v>63</v>
      </c>
      <c r="C401" s="314" t="s">
        <v>190</v>
      </c>
      <c r="D401" s="1742" t="s">
        <v>2070</v>
      </c>
      <c r="E401" s="1742" t="s">
        <v>2096</v>
      </c>
      <c r="F401" s="1741" t="s">
        <v>1185</v>
      </c>
      <c r="G401" s="1741" t="s">
        <v>2097</v>
      </c>
    </row>
    <row r="402" spans="2:7" ht="50.5">
      <c r="B402" s="1739">
        <f t="shared" si="20"/>
        <v>64</v>
      </c>
      <c r="C402" s="1743" t="s">
        <v>191</v>
      </c>
      <c r="D402" s="1742" t="s">
        <v>2070</v>
      </c>
      <c r="E402" s="1742" t="s">
        <v>2098</v>
      </c>
      <c r="F402" s="1741" t="s">
        <v>200</v>
      </c>
      <c r="G402" s="1741" t="s">
        <v>2099</v>
      </c>
    </row>
    <row r="403" spans="2:7" ht="113">
      <c r="B403" s="1739">
        <f t="shared" si="20"/>
        <v>65</v>
      </c>
      <c r="C403" s="314" t="s">
        <v>2100</v>
      </c>
      <c r="D403" s="1740" t="s">
        <v>2101</v>
      </c>
      <c r="E403" s="1740" t="s">
        <v>2102</v>
      </c>
      <c r="F403" s="1741" t="s">
        <v>628</v>
      </c>
      <c r="G403" s="1741" t="s">
        <v>2103</v>
      </c>
    </row>
    <row r="404" spans="2:7" ht="50.5">
      <c r="B404" s="1739">
        <f t="shared" si="20"/>
        <v>66</v>
      </c>
      <c r="C404" s="314" t="s">
        <v>2104</v>
      </c>
      <c r="D404" s="1740" t="s">
        <v>2101</v>
      </c>
      <c r="E404" s="1740" t="s">
        <v>2105</v>
      </c>
      <c r="F404" s="1741" t="s">
        <v>629</v>
      </c>
      <c r="G404" s="1741" t="s">
        <v>2106</v>
      </c>
    </row>
    <row r="405" spans="2:7" ht="38">
      <c r="B405" s="1739">
        <f t="shared" ref="B405:B415" si="21">B404+1</f>
        <v>67</v>
      </c>
      <c r="C405" s="314" t="s">
        <v>2107</v>
      </c>
      <c r="D405" s="1740" t="s">
        <v>2101</v>
      </c>
      <c r="E405" s="1740" t="s">
        <v>2108</v>
      </c>
      <c r="F405" s="1741" t="s">
        <v>1123</v>
      </c>
      <c r="G405" s="1741" t="s">
        <v>2109</v>
      </c>
    </row>
    <row r="406" spans="2:7" ht="100.5">
      <c r="B406" s="1739">
        <f t="shared" si="21"/>
        <v>68</v>
      </c>
      <c r="C406" s="314" t="s">
        <v>2110</v>
      </c>
      <c r="D406" s="1740" t="s">
        <v>2111</v>
      </c>
      <c r="E406" s="1740" t="s">
        <v>2102</v>
      </c>
      <c r="F406" s="1741" t="s">
        <v>1130</v>
      </c>
      <c r="G406" s="1741" t="s">
        <v>2112</v>
      </c>
    </row>
    <row r="407" spans="2:7" ht="100.5">
      <c r="B407" s="1739">
        <f t="shared" si="21"/>
        <v>69</v>
      </c>
      <c r="C407" s="314" t="s">
        <v>2100</v>
      </c>
      <c r="D407" s="1740" t="s">
        <v>2111</v>
      </c>
      <c r="E407" s="1740" t="s">
        <v>2105</v>
      </c>
      <c r="F407" s="1741" t="s">
        <v>1115</v>
      </c>
      <c r="G407" s="1741" t="s">
        <v>2113</v>
      </c>
    </row>
    <row r="408" spans="2:7" ht="50.5">
      <c r="B408" s="1739">
        <f t="shared" si="21"/>
        <v>70</v>
      </c>
      <c r="C408" s="314" t="s">
        <v>2104</v>
      </c>
      <c r="D408" s="1740" t="s">
        <v>2111</v>
      </c>
      <c r="E408" s="1740" t="s">
        <v>2114</v>
      </c>
      <c r="F408" s="1741" t="s">
        <v>1131</v>
      </c>
      <c r="G408" s="1741" t="s">
        <v>2115</v>
      </c>
    </row>
    <row r="409" spans="2:7" ht="175.5">
      <c r="B409" s="1739">
        <f t="shared" si="21"/>
        <v>71</v>
      </c>
      <c r="C409" s="314" t="s">
        <v>2116</v>
      </c>
      <c r="D409" s="1740" t="s">
        <v>2111</v>
      </c>
      <c r="E409" s="1740" t="s">
        <v>2117</v>
      </c>
      <c r="F409" s="1741" t="s">
        <v>1132</v>
      </c>
      <c r="G409" s="1741" t="s">
        <v>2118</v>
      </c>
    </row>
    <row r="410" spans="2:7" ht="100.5">
      <c r="B410" s="1739">
        <f t="shared" si="21"/>
        <v>72</v>
      </c>
      <c r="C410" s="314" t="s">
        <v>2119</v>
      </c>
      <c r="D410" s="1740" t="s">
        <v>2111</v>
      </c>
      <c r="E410" s="1740" t="s">
        <v>2120</v>
      </c>
      <c r="F410" s="1741" t="s">
        <v>1114</v>
      </c>
      <c r="G410" s="1741" t="s">
        <v>2121</v>
      </c>
    </row>
    <row r="411" spans="2:7" ht="38">
      <c r="B411" s="1739">
        <f t="shared" si="21"/>
        <v>73</v>
      </c>
      <c r="C411" s="314" t="s">
        <v>2122</v>
      </c>
      <c r="D411" s="1740" t="s">
        <v>2111</v>
      </c>
      <c r="E411" s="1740" t="s">
        <v>2108</v>
      </c>
      <c r="F411" s="1741" t="s">
        <v>1133</v>
      </c>
      <c r="G411" s="1741" t="s">
        <v>2123</v>
      </c>
    </row>
    <row r="412" spans="2:7" ht="38">
      <c r="B412" s="1739">
        <f t="shared" si="21"/>
        <v>74</v>
      </c>
      <c r="C412" s="314" t="s">
        <v>2124</v>
      </c>
      <c r="D412" s="1740" t="s">
        <v>2111</v>
      </c>
      <c r="E412" s="1740" t="s">
        <v>2125</v>
      </c>
      <c r="F412" s="1741" t="s">
        <v>1123</v>
      </c>
      <c r="G412" s="1741" t="s">
        <v>2109</v>
      </c>
    </row>
    <row r="413" spans="2:7" ht="38">
      <c r="B413" s="1739">
        <f t="shared" si="21"/>
        <v>75</v>
      </c>
      <c r="C413" s="314" t="s">
        <v>2126</v>
      </c>
      <c r="D413" s="1740" t="s">
        <v>2111</v>
      </c>
      <c r="E413" s="1740" t="s">
        <v>2127</v>
      </c>
      <c r="F413" s="1741" t="s">
        <v>1123</v>
      </c>
      <c r="G413" s="1741" t="s">
        <v>2109</v>
      </c>
    </row>
    <row r="414" spans="2:7" ht="25.5">
      <c r="B414" s="1739">
        <f t="shared" si="21"/>
        <v>76</v>
      </c>
      <c r="C414" s="314" t="s">
        <v>1271</v>
      </c>
      <c r="D414" s="1740" t="s">
        <v>2128</v>
      </c>
      <c r="E414" s="1740" t="s">
        <v>2129</v>
      </c>
      <c r="F414" s="1741" t="s">
        <v>1272</v>
      </c>
      <c r="G414" s="1741" t="s">
        <v>2130</v>
      </c>
    </row>
    <row r="415" spans="2:7" ht="25.5">
      <c r="B415" s="1739">
        <f t="shared" si="21"/>
        <v>77</v>
      </c>
      <c r="C415" s="314" t="s">
        <v>1300</v>
      </c>
      <c r="D415" s="1740" t="s">
        <v>2131</v>
      </c>
      <c r="E415" s="1740" t="s">
        <v>2129</v>
      </c>
      <c r="F415" s="1741" t="s">
        <v>1301</v>
      </c>
      <c r="G415" s="1741" t="s">
        <v>2132</v>
      </c>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23">
    <mergeCell ref="J35:Q35"/>
    <mergeCell ref="A31:F31"/>
    <mergeCell ref="J31:Q31"/>
    <mergeCell ref="J32:Q32"/>
    <mergeCell ref="H79:Q79"/>
    <mergeCell ref="J56:Q56"/>
    <mergeCell ref="J36:Q36"/>
    <mergeCell ref="J34:Q34"/>
    <mergeCell ref="V110:AN110"/>
    <mergeCell ref="J44:Q44"/>
    <mergeCell ref="A48:F48"/>
    <mergeCell ref="J48:Q48"/>
    <mergeCell ref="J52:Q52"/>
    <mergeCell ref="A56:F56"/>
    <mergeCell ref="H75:Q75"/>
    <mergeCell ref="H77:Q77"/>
    <mergeCell ref="A5:F5"/>
    <mergeCell ref="J5:Q5"/>
    <mergeCell ref="J6:Q6"/>
    <mergeCell ref="J7:Q7"/>
    <mergeCell ref="J8:Q8"/>
    <mergeCell ref="J9:Q9"/>
    <mergeCell ref="A22:F22"/>
    <mergeCell ref="J22:Q22"/>
    <mergeCell ref="J11:Q11"/>
    <mergeCell ref="J13:Q13"/>
    <mergeCell ref="J15:Q15"/>
    <mergeCell ref="J18:Q18"/>
    <mergeCell ref="J23:Q23"/>
    <mergeCell ref="J24:Q24"/>
    <mergeCell ref="J71:Q71"/>
    <mergeCell ref="A75:F75"/>
    <mergeCell ref="A93:F93"/>
    <mergeCell ref="H82:Q82"/>
    <mergeCell ref="H83:Q83"/>
    <mergeCell ref="H84:Q84"/>
    <mergeCell ref="H85:Q85"/>
    <mergeCell ref="H86:Q86"/>
    <mergeCell ref="H87:Q87"/>
    <mergeCell ref="J33:Q33"/>
    <mergeCell ref="H80:Q80"/>
    <mergeCell ref="J58:Q58"/>
    <mergeCell ref="A62:F62"/>
    <mergeCell ref="L62:Q62"/>
    <mergeCell ref="L64:Q64"/>
    <mergeCell ref="L65:Q65"/>
    <mergeCell ref="A69:F69"/>
    <mergeCell ref="J69:Q69"/>
    <mergeCell ref="J38:Q38"/>
    <mergeCell ref="A42:F42"/>
    <mergeCell ref="J42:Q42"/>
    <mergeCell ref="J43:Q43"/>
    <mergeCell ref="H169:Q169"/>
    <mergeCell ref="H170:Q170"/>
    <mergeCell ref="A117:F117"/>
    <mergeCell ref="C119:F119"/>
    <mergeCell ref="C142:T144"/>
    <mergeCell ref="A148:F148"/>
    <mergeCell ref="A162:F162"/>
    <mergeCell ref="H162:Q162"/>
    <mergeCell ref="H164:Q164"/>
    <mergeCell ref="H166:Q166"/>
    <mergeCell ref="H167:Q167"/>
    <mergeCell ref="H168:Q168"/>
    <mergeCell ref="H184:Q184"/>
    <mergeCell ref="H186:Q186"/>
    <mergeCell ref="H187:Q187"/>
    <mergeCell ref="A191:F191"/>
    <mergeCell ref="H191:Q191"/>
    <mergeCell ref="H193:Q193"/>
    <mergeCell ref="H171:Q171"/>
    <mergeCell ref="H172:Q172"/>
    <mergeCell ref="A176:F176"/>
    <mergeCell ref="A182:F182"/>
    <mergeCell ref="H182:Q182"/>
    <mergeCell ref="G206:H206"/>
    <mergeCell ref="I206:J206"/>
    <mergeCell ref="K206:L206"/>
    <mergeCell ref="G207:H207"/>
    <mergeCell ref="I207:J207"/>
    <mergeCell ref="K207:L207"/>
    <mergeCell ref="A199:F199"/>
    <mergeCell ref="H199:Q199"/>
    <mergeCell ref="H201:Q201"/>
    <mergeCell ref="G205:H205"/>
    <mergeCell ref="I205:J205"/>
    <mergeCell ref="K205:L205"/>
    <mergeCell ref="J245:P245"/>
    <mergeCell ref="A270:F270"/>
    <mergeCell ref="K270:Q270"/>
    <mergeCell ref="K272:Q272"/>
    <mergeCell ref="A277:F277"/>
    <mergeCell ref="A269:F269"/>
    <mergeCell ref="G269:H269"/>
    <mergeCell ref="I269:J269"/>
    <mergeCell ref="K269:L269"/>
    <mergeCell ref="A260:F260"/>
    <mergeCell ref="A251:F251"/>
    <mergeCell ref="G251:H251"/>
    <mergeCell ref="I251:J251"/>
    <mergeCell ref="E233:Q238"/>
    <mergeCell ref="G209:H209"/>
    <mergeCell ref="I209:J209"/>
    <mergeCell ref="K209:L209"/>
    <mergeCell ref="A213:F213"/>
    <mergeCell ref="A223:F223"/>
    <mergeCell ref="A232:F232"/>
    <mergeCell ref="A240:F240"/>
    <mergeCell ref="A241:F241"/>
    <mergeCell ref="A336:J336"/>
    <mergeCell ref="C318:F323"/>
    <mergeCell ref="G318:J323"/>
    <mergeCell ref="C324:F330"/>
    <mergeCell ref="C331:F332"/>
    <mergeCell ref="C333:F333"/>
    <mergeCell ref="K251:L251"/>
    <mergeCell ref="A252:F252"/>
    <mergeCell ref="A296:F296"/>
    <mergeCell ref="C313:F314"/>
    <mergeCell ref="C315:F315"/>
    <mergeCell ref="C316:F317"/>
    <mergeCell ref="A290:F290"/>
    <mergeCell ref="A293:F293"/>
  </mergeCells>
  <phoneticPr fontId="94" type="noConversion"/>
  <pageMargins left="0.25" right="0.25" top="0.75" bottom="0.75" header="0.5" footer="0.5"/>
  <pageSetup scale="16" fitToHeight="3" orientation="portrait" r:id="rId2"/>
  <rowBreaks count="2" manualBreakCount="2">
    <brk id="159" max="16383" man="1"/>
    <brk id="3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B3C1-DFCC-4C7E-A716-32E4CE4E0410}">
  <dimension ref="A1:Q241"/>
  <sheetViews>
    <sheetView showGridLines="0" view="pageBreakPreview" topLeftCell="A100" zoomScale="99" zoomScaleNormal="100" zoomScaleSheetLayoutView="99" workbookViewId="0">
      <selection activeCell="F147" sqref="F147"/>
    </sheetView>
  </sheetViews>
  <sheetFormatPr defaultColWidth="9.1796875" defaultRowHeight="12.5"/>
  <cols>
    <col min="1" max="1" width="37" style="969" customWidth="1"/>
    <col min="2" max="2" width="16" style="969" bestFit="1" customWidth="1"/>
    <col min="3" max="3" width="5.81640625" style="969" customWidth="1"/>
    <col min="4" max="4" width="16" style="969" bestFit="1" customWidth="1"/>
    <col min="5" max="5" width="6.54296875" style="969" customWidth="1"/>
    <col min="6" max="6" width="16" style="969" bestFit="1" customWidth="1"/>
    <col min="7" max="7" width="6" style="969" customWidth="1"/>
    <col min="8" max="8" width="10.7265625" style="969" customWidth="1"/>
    <col min="9" max="9" width="5.81640625" style="969" customWidth="1"/>
    <col min="10" max="10" width="9.7265625" style="969" bestFit="1" customWidth="1"/>
    <col min="11" max="11" width="5.81640625" style="969" customWidth="1"/>
    <col min="12" max="12" width="10.1796875" style="969" customWidth="1"/>
    <col min="13" max="13" width="5.81640625" style="969" customWidth="1"/>
    <col min="14" max="14" width="15" style="969" bestFit="1" customWidth="1"/>
    <col min="15" max="15" width="5.453125" style="969" customWidth="1"/>
    <col min="16" max="16" width="16" style="969" bestFit="1" customWidth="1"/>
    <col min="17" max="16384" width="9.1796875" style="969"/>
  </cols>
  <sheetData>
    <row r="1" spans="1:17" ht="18">
      <c r="A1" s="1963" t="s">
        <v>343</v>
      </c>
      <c r="B1" s="1964"/>
      <c r="C1" s="1964"/>
      <c r="D1" s="1964"/>
      <c r="E1" s="1964"/>
      <c r="F1" s="1964"/>
      <c r="G1" s="1964"/>
      <c r="H1" s="1964"/>
      <c r="I1" s="1399"/>
      <c r="J1" s="1399"/>
      <c r="K1" s="1399"/>
      <c r="L1" s="1399"/>
      <c r="M1" s="1399"/>
    </row>
    <row r="2" spans="1:17" ht="13">
      <c r="N2" s="1400"/>
      <c r="O2" s="1401"/>
      <c r="P2" s="154"/>
    </row>
    <row r="3" spans="1:17" ht="13">
      <c r="A3" s="1402" t="s">
        <v>598</v>
      </c>
      <c r="N3" s="1400"/>
      <c r="O3" s="1401"/>
      <c r="P3" s="154"/>
    </row>
    <row r="4" spans="1:17" ht="13">
      <c r="A4" s="1401"/>
      <c r="B4" s="1401"/>
      <c r="C4" s="1401"/>
      <c r="D4" s="1401"/>
      <c r="E4" s="1401"/>
      <c r="F4" s="1401"/>
      <c r="G4" s="1401"/>
      <c r="H4" s="1401"/>
      <c r="I4" s="1401"/>
      <c r="J4" s="1401"/>
      <c r="K4" s="1401"/>
      <c r="L4" s="1401"/>
      <c r="M4" s="1401"/>
      <c r="N4" s="1401"/>
      <c r="O4" s="1401"/>
      <c r="P4" s="154"/>
    </row>
    <row r="6" spans="1:17" ht="13">
      <c r="A6" s="154"/>
      <c r="B6" s="571" t="s">
        <v>599</v>
      </c>
      <c r="C6" s="571"/>
      <c r="D6" s="571" t="s">
        <v>600</v>
      </c>
      <c r="E6" s="571"/>
      <c r="F6" s="571"/>
      <c r="G6" s="571"/>
      <c r="H6" s="571"/>
      <c r="I6" s="571"/>
      <c r="J6" s="571"/>
      <c r="K6" s="571"/>
      <c r="L6" s="571"/>
      <c r="M6" s="571"/>
      <c r="N6" s="571"/>
      <c r="O6" s="571"/>
      <c r="P6" s="571"/>
    </row>
    <row r="7" spans="1:17" ht="13">
      <c r="A7" s="154"/>
      <c r="B7" s="571" t="s">
        <v>601</v>
      </c>
      <c r="C7" s="571"/>
      <c r="D7" s="571" t="s">
        <v>602</v>
      </c>
      <c r="E7" s="571"/>
      <c r="F7" s="571" t="s">
        <v>176</v>
      </c>
      <c r="G7" s="571"/>
      <c r="H7" s="571" t="s">
        <v>1236</v>
      </c>
      <c r="J7" s="571" t="s">
        <v>1237</v>
      </c>
      <c r="L7" s="571" t="s">
        <v>1238</v>
      </c>
      <c r="M7" s="571"/>
      <c r="N7" s="571" t="s">
        <v>603</v>
      </c>
      <c r="O7" s="571"/>
      <c r="P7" s="571" t="s">
        <v>59</v>
      </c>
    </row>
    <row r="8" spans="1:17">
      <c r="A8" s="154"/>
      <c r="B8" s="981"/>
      <c r="C8" s="981"/>
      <c r="D8" s="981"/>
      <c r="E8" s="981"/>
      <c r="F8" s="981"/>
      <c r="G8" s="981"/>
      <c r="H8" s="981"/>
      <c r="I8" s="981"/>
      <c r="J8" s="981"/>
      <c r="K8" s="981"/>
      <c r="L8" s="981"/>
      <c r="M8" s="981"/>
      <c r="N8" s="981"/>
      <c r="O8" s="981"/>
      <c r="P8" s="981"/>
    </row>
    <row r="9" spans="1:17" ht="14">
      <c r="A9" s="1721" t="s">
        <v>604</v>
      </c>
      <c r="B9" s="1721">
        <v>2830125</v>
      </c>
      <c r="C9" s="1721"/>
      <c r="D9" s="1721">
        <v>2575025</v>
      </c>
      <c r="E9" s="1721"/>
      <c r="F9" s="1721">
        <v>4975157</v>
      </c>
      <c r="G9" s="1721"/>
      <c r="H9" s="1721">
        <v>0</v>
      </c>
      <c r="I9" s="1721"/>
      <c r="J9" s="1721">
        <v>0</v>
      </c>
      <c r="K9" s="1721"/>
      <c r="L9" s="1721">
        <v>0</v>
      </c>
      <c r="M9" s="1721"/>
      <c r="N9" s="1721">
        <v>5804</v>
      </c>
      <c r="O9" s="574"/>
      <c r="P9" s="574">
        <f>SUM(B9:N9)</f>
        <v>10386111</v>
      </c>
      <c r="Q9" s="575"/>
    </row>
    <row r="10" spans="1:17" ht="14">
      <c r="A10" s="1721"/>
      <c r="B10" s="1721"/>
      <c r="C10" s="1721"/>
      <c r="D10" s="1721"/>
      <c r="E10" s="1721"/>
      <c r="F10" s="1721"/>
      <c r="G10" s="1721"/>
      <c r="H10" s="1721"/>
      <c r="I10" s="1721"/>
      <c r="J10" s="1721"/>
      <c r="K10" s="1721"/>
      <c r="L10" s="1721"/>
      <c r="M10" s="1721"/>
      <c r="N10" s="1721"/>
      <c r="O10" s="576"/>
      <c r="P10" s="574">
        <f t="shared" ref="P10:P31" si="0">SUM(B10:N10)</f>
        <v>0</v>
      </c>
      <c r="Q10" s="575"/>
    </row>
    <row r="11" spans="1:17" ht="14">
      <c r="A11" s="1721" t="s">
        <v>1400</v>
      </c>
      <c r="B11" s="1721">
        <v>8039327</v>
      </c>
      <c r="C11" s="1721"/>
      <c r="D11" s="1721">
        <v>6619238</v>
      </c>
      <c r="E11" s="1721"/>
      <c r="F11" s="1721">
        <v>14768918</v>
      </c>
      <c r="G11" s="1721"/>
      <c r="H11" s="1721">
        <v>0</v>
      </c>
      <c r="I11" s="1721"/>
      <c r="J11" s="1721">
        <v>0</v>
      </c>
      <c r="K11" s="1721"/>
      <c r="L11" s="1721">
        <v>0</v>
      </c>
      <c r="M11" s="1721"/>
      <c r="N11" s="1721">
        <v>7355521</v>
      </c>
      <c r="O11" s="576"/>
      <c r="P11" s="574">
        <f t="shared" si="0"/>
        <v>36783004</v>
      </c>
      <c r="Q11" s="575"/>
    </row>
    <row r="12" spans="1:17" ht="14">
      <c r="A12" s="1721"/>
      <c r="B12" s="1721"/>
      <c r="C12" s="1721"/>
      <c r="D12" s="1721"/>
      <c r="E12" s="1721"/>
      <c r="F12" s="1721"/>
      <c r="G12" s="1721"/>
      <c r="H12" s="1721"/>
      <c r="I12" s="1721"/>
      <c r="J12" s="1721"/>
      <c r="K12" s="1721"/>
      <c r="L12" s="1721"/>
      <c r="M12" s="1721"/>
      <c r="N12" s="1721"/>
      <c r="O12" s="576"/>
      <c r="P12" s="574">
        <f t="shared" si="0"/>
        <v>0</v>
      </c>
      <c r="Q12" s="575"/>
    </row>
    <row r="13" spans="1:17" ht="14">
      <c r="A13" s="1721" t="s">
        <v>1401</v>
      </c>
      <c r="B13" s="1721">
        <v>6775655</v>
      </c>
      <c r="C13" s="1721"/>
      <c r="D13" s="1721">
        <v>5806633</v>
      </c>
      <c r="E13" s="1721"/>
      <c r="F13" s="1721">
        <v>10855543</v>
      </c>
      <c r="G13" s="1721"/>
      <c r="H13" s="1721">
        <v>0</v>
      </c>
      <c r="I13" s="1721"/>
      <c r="J13" s="1721">
        <v>0</v>
      </c>
      <c r="K13" s="1721"/>
      <c r="L13" s="1721">
        <v>0</v>
      </c>
      <c r="M13" s="1721"/>
      <c r="N13" s="1721">
        <v>17368</v>
      </c>
      <c r="O13" s="576"/>
      <c r="P13" s="574">
        <f t="shared" si="0"/>
        <v>23455199</v>
      </c>
      <c r="Q13" s="575"/>
    </row>
    <row r="14" spans="1:17" ht="14">
      <c r="A14" s="1721"/>
      <c r="B14" s="1721"/>
      <c r="C14" s="1721"/>
      <c r="D14" s="1721"/>
      <c r="E14" s="1721"/>
      <c r="F14" s="1721"/>
      <c r="G14" s="1721"/>
      <c r="H14" s="1721"/>
      <c r="I14" s="1721"/>
      <c r="J14" s="1721"/>
      <c r="K14" s="1721"/>
      <c r="L14" s="1721"/>
      <c r="M14" s="1721"/>
      <c r="N14" s="1721"/>
      <c r="O14" s="576"/>
      <c r="P14" s="574">
        <f t="shared" si="0"/>
        <v>0</v>
      </c>
      <c r="Q14" s="575"/>
    </row>
    <row r="15" spans="1:17" ht="14">
      <c r="A15" s="1721" t="s">
        <v>605</v>
      </c>
      <c r="B15" s="1721">
        <v>2664941</v>
      </c>
      <c r="C15" s="1721"/>
      <c r="D15" s="1721">
        <v>1872962</v>
      </c>
      <c r="E15" s="1721"/>
      <c r="F15" s="1721">
        <v>4027942</v>
      </c>
      <c r="G15" s="1721"/>
      <c r="H15" s="1721">
        <v>0</v>
      </c>
      <c r="I15" s="1721"/>
      <c r="J15" s="1721">
        <v>0</v>
      </c>
      <c r="K15" s="1721"/>
      <c r="L15" s="1721">
        <v>0</v>
      </c>
      <c r="M15" s="1721"/>
      <c r="N15" s="1721">
        <v>0</v>
      </c>
      <c r="O15" s="576"/>
      <c r="P15" s="574">
        <f t="shared" si="0"/>
        <v>8565845</v>
      </c>
      <c r="Q15" s="575"/>
    </row>
    <row r="16" spans="1:17" ht="14">
      <c r="A16" s="1721"/>
      <c r="B16" s="1721"/>
      <c r="C16" s="1721"/>
      <c r="D16" s="1721"/>
      <c r="E16" s="1721"/>
      <c r="F16" s="1721"/>
      <c r="G16" s="1721"/>
      <c r="H16" s="1721"/>
      <c r="I16" s="1721"/>
      <c r="J16" s="1721"/>
      <c r="K16" s="1721"/>
      <c r="L16" s="1721"/>
      <c r="M16" s="1721"/>
      <c r="N16" s="1721"/>
      <c r="O16" s="576"/>
      <c r="P16" s="574">
        <f t="shared" si="0"/>
        <v>0</v>
      </c>
      <c r="Q16" s="575"/>
    </row>
    <row r="17" spans="1:17" ht="14">
      <c r="A17" s="1721" t="s">
        <v>606</v>
      </c>
      <c r="B17" s="1721">
        <v>1826941</v>
      </c>
      <c r="C17" s="1721"/>
      <c r="D17" s="1721">
        <v>1279881</v>
      </c>
      <c r="E17" s="1721"/>
      <c r="F17" s="1721">
        <v>2396322</v>
      </c>
      <c r="G17" s="1721"/>
      <c r="H17" s="1721">
        <v>0</v>
      </c>
      <c r="I17" s="1721"/>
      <c r="J17" s="1721">
        <v>0</v>
      </c>
      <c r="K17" s="1721"/>
      <c r="L17" s="1721">
        <v>0</v>
      </c>
      <c r="M17" s="1721"/>
      <c r="N17" s="1721">
        <v>300759</v>
      </c>
      <c r="O17" s="576"/>
      <c r="P17" s="574">
        <f t="shared" si="0"/>
        <v>5803903</v>
      </c>
      <c r="Q17" s="575"/>
    </row>
    <row r="18" spans="1:17" ht="14">
      <c r="A18" s="1721"/>
      <c r="B18" s="1721"/>
      <c r="C18" s="1721"/>
      <c r="D18" s="1721"/>
      <c r="E18" s="1721"/>
      <c r="F18" s="1721"/>
      <c r="G18" s="1721"/>
      <c r="H18" s="1721"/>
      <c r="I18" s="1721"/>
      <c r="J18" s="1721"/>
      <c r="K18" s="1721"/>
      <c r="L18" s="1721"/>
      <c r="M18" s="1721"/>
      <c r="N18" s="1721"/>
      <c r="O18" s="576"/>
      <c r="P18" s="574">
        <f t="shared" si="0"/>
        <v>0</v>
      </c>
      <c r="Q18" s="575"/>
    </row>
    <row r="19" spans="1:17" ht="14">
      <c r="A19" s="1721" t="s">
        <v>607</v>
      </c>
      <c r="B19" s="1721">
        <v>35816988</v>
      </c>
      <c r="C19" s="1721"/>
      <c r="D19" s="1721">
        <v>34425141</v>
      </c>
      <c r="E19" s="1721"/>
      <c r="F19" s="1721">
        <v>26855148</v>
      </c>
      <c r="G19" s="1721"/>
      <c r="H19" s="1721">
        <v>0</v>
      </c>
      <c r="I19" s="1721"/>
      <c r="J19" s="1721">
        <v>0</v>
      </c>
      <c r="K19" s="1721"/>
      <c r="L19" s="1721">
        <v>0</v>
      </c>
      <c r="M19" s="1721"/>
      <c r="N19" s="1721">
        <v>0</v>
      </c>
      <c r="O19" s="576"/>
      <c r="P19" s="574">
        <f t="shared" si="0"/>
        <v>97097277</v>
      </c>
      <c r="Q19" s="575"/>
    </row>
    <row r="20" spans="1:17" ht="14">
      <c r="A20" s="1721"/>
      <c r="B20" s="1721"/>
      <c r="C20" s="1721"/>
      <c r="D20" s="1721"/>
      <c r="E20" s="1721"/>
      <c r="F20" s="1721"/>
      <c r="G20" s="1721"/>
      <c r="H20" s="1721"/>
      <c r="I20" s="1721"/>
      <c r="J20" s="1721"/>
      <c r="K20" s="1721"/>
      <c r="L20" s="1721"/>
      <c r="M20" s="1721"/>
      <c r="N20" s="1721"/>
      <c r="O20" s="576"/>
      <c r="P20" s="574">
        <f t="shared" si="0"/>
        <v>0</v>
      </c>
      <c r="Q20" s="575"/>
    </row>
    <row r="21" spans="1:17" ht="14">
      <c r="A21" s="1721" t="s">
        <v>608</v>
      </c>
      <c r="B21" s="1721">
        <v>11709010</v>
      </c>
      <c r="C21" s="1721"/>
      <c r="D21" s="1721">
        <v>11767657</v>
      </c>
      <c r="E21" s="1721"/>
      <c r="F21" s="1721">
        <v>17990102</v>
      </c>
      <c r="G21" s="1721"/>
      <c r="H21" s="1721">
        <v>0</v>
      </c>
      <c r="I21" s="1721"/>
      <c r="J21" s="1721">
        <v>0</v>
      </c>
      <c r="K21" s="1721"/>
      <c r="L21" s="1721">
        <v>0</v>
      </c>
      <c r="M21" s="1721"/>
      <c r="N21" s="1721">
        <v>3915</v>
      </c>
      <c r="O21" s="576"/>
      <c r="P21" s="574">
        <f t="shared" si="0"/>
        <v>41470684</v>
      </c>
      <c r="Q21" s="575"/>
    </row>
    <row r="22" spans="1:17" ht="14">
      <c r="A22" s="1721"/>
      <c r="B22" s="1721"/>
      <c r="C22" s="1721"/>
      <c r="D22" s="1721"/>
      <c r="E22" s="1721"/>
      <c r="F22" s="1721"/>
      <c r="G22" s="1721"/>
      <c r="H22" s="1721"/>
      <c r="I22" s="1721"/>
      <c r="J22" s="1721"/>
      <c r="K22" s="1721"/>
      <c r="L22" s="1721"/>
      <c r="M22" s="1721"/>
      <c r="N22" s="1721"/>
      <c r="O22" s="576"/>
      <c r="P22" s="574">
        <f>SUM(B22:N22)</f>
        <v>0</v>
      </c>
      <c r="Q22" s="575"/>
    </row>
    <row r="23" spans="1:17" ht="14">
      <c r="A23" s="1721" t="s">
        <v>1880</v>
      </c>
      <c r="B23" s="1721">
        <v>3167612</v>
      </c>
      <c r="C23" s="1721"/>
      <c r="D23" s="1721">
        <v>3045258</v>
      </c>
      <c r="E23" s="1721"/>
      <c r="F23" s="1721">
        <v>3697560</v>
      </c>
      <c r="G23" s="1721"/>
      <c r="H23" s="1721">
        <v>0</v>
      </c>
      <c r="I23" s="1721"/>
      <c r="J23" s="1721">
        <v>0</v>
      </c>
      <c r="K23" s="1721"/>
      <c r="L23" s="1721">
        <v>0</v>
      </c>
      <c r="M23" s="1721"/>
      <c r="N23" s="1721">
        <v>820</v>
      </c>
      <c r="O23" s="576"/>
      <c r="P23" s="574">
        <f t="shared" si="0"/>
        <v>9911250</v>
      </c>
      <c r="Q23" s="575"/>
    </row>
    <row r="24" spans="1:17" ht="14">
      <c r="A24" s="1721"/>
      <c r="B24" s="1721"/>
      <c r="C24" s="1721"/>
      <c r="D24" s="1721"/>
      <c r="E24" s="1721"/>
      <c r="F24" s="1721"/>
      <c r="G24" s="1721"/>
      <c r="H24" s="1721"/>
      <c r="I24" s="1721"/>
      <c r="J24" s="1721"/>
      <c r="K24" s="1721"/>
      <c r="L24" s="1721"/>
      <c r="M24" s="1721"/>
      <c r="N24" s="1721"/>
      <c r="O24" s="576"/>
      <c r="P24" s="574">
        <f t="shared" si="0"/>
        <v>0</v>
      </c>
      <c r="Q24" s="575"/>
    </row>
    <row r="25" spans="1:17" ht="14">
      <c r="A25" s="1721" t="s">
        <v>1402</v>
      </c>
      <c r="B25" s="1721">
        <v>1721966</v>
      </c>
      <c r="C25" s="1721"/>
      <c r="D25" s="1721">
        <v>1510728</v>
      </c>
      <c r="E25" s="1721"/>
      <c r="F25" s="1721">
        <v>2744840</v>
      </c>
      <c r="G25" s="1721"/>
      <c r="H25" s="1721">
        <v>0</v>
      </c>
      <c r="I25" s="1721"/>
      <c r="J25" s="1721">
        <v>0</v>
      </c>
      <c r="K25" s="1721"/>
      <c r="L25" s="1721">
        <v>0</v>
      </c>
      <c r="M25" s="1721"/>
      <c r="N25" s="1721">
        <v>2739</v>
      </c>
      <c r="O25" s="576"/>
      <c r="P25" s="574">
        <f t="shared" si="0"/>
        <v>5980273</v>
      </c>
      <c r="Q25" s="575"/>
    </row>
    <row r="26" spans="1:17" ht="14">
      <c r="A26" s="1721"/>
      <c r="B26" s="1721"/>
      <c r="C26" s="1721"/>
      <c r="D26" s="1721"/>
      <c r="E26" s="1721"/>
      <c r="F26" s="1721"/>
      <c r="G26" s="1721"/>
      <c r="H26" s="1721"/>
      <c r="I26" s="1721"/>
      <c r="J26" s="1721"/>
      <c r="K26" s="1721"/>
      <c r="L26" s="1721"/>
      <c r="M26" s="1721"/>
      <c r="N26" s="1721"/>
      <c r="O26" s="576"/>
      <c r="P26" s="574">
        <f t="shared" si="0"/>
        <v>0</v>
      </c>
      <c r="Q26" s="575"/>
    </row>
    <row r="27" spans="1:17" ht="14">
      <c r="A27" s="1721" t="s">
        <v>1403</v>
      </c>
      <c r="B27" s="1721">
        <v>8989315</v>
      </c>
      <c r="C27" s="1721"/>
      <c r="D27" s="1721">
        <v>7299720</v>
      </c>
      <c r="E27" s="1721"/>
      <c r="F27" s="1721">
        <v>9592915</v>
      </c>
      <c r="G27" s="1721"/>
      <c r="H27" s="1721">
        <v>0</v>
      </c>
      <c r="I27" s="1721"/>
      <c r="J27" s="1721">
        <v>0</v>
      </c>
      <c r="K27" s="1721"/>
      <c r="L27" s="1721">
        <v>0</v>
      </c>
      <c r="M27" s="1721"/>
      <c r="N27" s="1721">
        <v>28822</v>
      </c>
      <c r="O27" s="576"/>
      <c r="P27" s="574">
        <f t="shared" si="0"/>
        <v>25910772</v>
      </c>
      <c r="Q27" s="575"/>
    </row>
    <row r="28" spans="1:17" ht="14">
      <c r="A28" s="1721"/>
      <c r="B28" s="1721"/>
      <c r="C28" s="1721"/>
      <c r="D28" s="1721"/>
      <c r="E28" s="1721"/>
      <c r="F28" s="1721"/>
      <c r="G28" s="1721"/>
      <c r="H28" s="1721"/>
      <c r="I28" s="1721"/>
      <c r="J28" s="1721"/>
      <c r="K28" s="1721"/>
      <c r="L28" s="1721"/>
      <c r="M28" s="1721"/>
      <c r="N28" s="1721"/>
      <c r="O28" s="576"/>
      <c r="P28" s="574">
        <f t="shared" si="0"/>
        <v>0</v>
      </c>
      <c r="Q28" s="575"/>
    </row>
    <row r="29" spans="1:17" ht="14">
      <c r="A29" s="1721" t="s">
        <v>1404</v>
      </c>
      <c r="B29" s="1721">
        <v>36613040</v>
      </c>
      <c r="C29" s="1721"/>
      <c r="D29" s="1721">
        <v>28435636</v>
      </c>
      <c r="E29" s="1721"/>
      <c r="F29" s="1721">
        <v>47085755</v>
      </c>
      <c r="G29" s="1721"/>
      <c r="H29" s="1721">
        <v>141938</v>
      </c>
      <c r="I29" s="1721"/>
      <c r="J29" s="1721">
        <v>184747</v>
      </c>
      <c r="K29" s="1721"/>
      <c r="L29" s="1721">
        <v>75881</v>
      </c>
      <c r="M29" s="1721"/>
      <c r="N29" s="1721">
        <v>162</v>
      </c>
      <c r="O29" s="576"/>
      <c r="P29" s="574">
        <f t="shared" si="0"/>
        <v>112537159</v>
      </c>
      <c r="Q29" s="575"/>
    </row>
    <row r="30" spans="1:17" ht="14">
      <c r="A30" s="1721"/>
      <c r="B30" s="1721"/>
      <c r="C30" s="1721"/>
      <c r="D30" s="1721"/>
      <c r="E30" s="1721"/>
      <c r="F30" s="1721"/>
      <c r="G30" s="1721"/>
      <c r="H30" s="1721"/>
      <c r="I30" s="1721"/>
      <c r="J30" s="1721"/>
      <c r="K30" s="1721"/>
      <c r="L30" s="1721"/>
      <c r="M30" s="1721"/>
      <c r="N30" s="1721"/>
      <c r="O30" s="576"/>
      <c r="P30" s="574">
        <f t="shared" si="0"/>
        <v>0</v>
      </c>
      <c r="Q30" s="575"/>
    </row>
    <row r="31" spans="1:17" ht="14">
      <c r="A31" s="1721" t="s">
        <v>1405</v>
      </c>
      <c r="B31" s="1721">
        <v>657950</v>
      </c>
      <c r="C31" s="1721"/>
      <c r="D31" s="1721">
        <v>543578</v>
      </c>
      <c r="E31" s="1721"/>
      <c r="F31" s="1721">
        <v>1240318</v>
      </c>
      <c r="G31" s="1721"/>
      <c r="H31" s="1721">
        <v>0</v>
      </c>
      <c r="I31" s="1721"/>
      <c r="J31" s="1721">
        <v>0</v>
      </c>
      <c r="K31" s="1721"/>
      <c r="L31" s="1721">
        <v>0</v>
      </c>
      <c r="M31" s="1721"/>
      <c r="N31" s="1721">
        <v>142</v>
      </c>
      <c r="O31" s="576"/>
      <c r="P31" s="574">
        <f t="shared" si="0"/>
        <v>2441988</v>
      </c>
      <c r="Q31" s="575"/>
    </row>
    <row r="32" spans="1:17">
      <c r="A32" s="1404"/>
      <c r="B32" s="1405"/>
      <c r="C32" s="1405"/>
      <c r="D32" s="1405"/>
      <c r="E32" s="1405"/>
      <c r="F32" s="1405"/>
      <c r="G32" s="1405"/>
      <c r="H32" s="1405"/>
      <c r="I32" s="1405"/>
      <c r="J32" s="1405"/>
      <c r="K32" s="1405"/>
      <c r="L32" s="1405"/>
      <c r="M32" s="1405"/>
      <c r="N32" s="1406"/>
      <c r="O32" s="1406"/>
      <c r="P32" s="1405"/>
      <c r="Q32" s="1407"/>
    </row>
    <row r="33" spans="1:17" ht="13.5" thickBot="1">
      <c r="A33" s="1404" t="s">
        <v>59</v>
      </c>
      <c r="B33" s="578">
        <f>SUM(B9:B31)</f>
        <v>120812870</v>
      </c>
      <c r="C33" s="578"/>
      <c r="D33" s="578">
        <f t="shared" ref="D33:P33" si="1">SUM(D9:D31)</f>
        <v>105181457</v>
      </c>
      <c r="E33" s="578"/>
      <c r="F33" s="578">
        <f t="shared" si="1"/>
        <v>146230520</v>
      </c>
      <c r="G33" s="578"/>
      <c r="H33" s="578">
        <f t="shared" si="1"/>
        <v>141938</v>
      </c>
      <c r="I33" s="578"/>
      <c r="J33" s="578">
        <f t="shared" si="1"/>
        <v>184747</v>
      </c>
      <c r="K33" s="578"/>
      <c r="L33" s="578">
        <f t="shared" si="1"/>
        <v>75881</v>
      </c>
      <c r="M33" s="578"/>
      <c r="N33" s="578">
        <f t="shared" si="1"/>
        <v>7716052</v>
      </c>
      <c r="O33" s="578"/>
      <c r="P33" s="578">
        <f t="shared" si="1"/>
        <v>380343465</v>
      </c>
      <c r="Q33" s="1407"/>
    </row>
    <row r="34" spans="1:17" ht="13" thickTop="1">
      <c r="B34" s="1405"/>
      <c r="C34" s="1405"/>
      <c r="D34" s="1405"/>
      <c r="E34" s="1405"/>
      <c r="F34" s="1405"/>
      <c r="G34" s="1405"/>
      <c r="H34" s="1405"/>
      <c r="I34" s="1405"/>
      <c r="J34" s="1405"/>
      <c r="K34" s="1405"/>
      <c r="L34" s="1405"/>
      <c r="M34" s="1405"/>
      <c r="N34" s="1406" t="s">
        <v>101</v>
      </c>
      <c r="O34" s="1406"/>
      <c r="P34" s="1405"/>
    </row>
    <row r="35" spans="1:17" ht="13">
      <c r="B35" s="1747"/>
      <c r="C35" s="1405"/>
      <c r="D35" s="1405"/>
      <c r="E35" s="1405"/>
      <c r="F35" s="1405"/>
      <c r="G35" s="1405"/>
      <c r="H35" s="1405"/>
      <c r="I35" s="1405"/>
      <c r="J35" s="1405"/>
      <c r="K35" s="1405"/>
      <c r="L35" s="1405"/>
      <c r="M35" s="1405"/>
      <c r="N35" s="1406"/>
      <c r="O35" s="1406"/>
      <c r="P35" s="1405"/>
    </row>
    <row r="36" spans="1:17">
      <c r="B36" s="1405"/>
      <c r="C36" s="1405"/>
      <c r="D36" s="1405"/>
      <c r="E36" s="1405"/>
      <c r="F36" s="1405"/>
      <c r="G36" s="1405"/>
      <c r="H36" s="1405"/>
      <c r="I36" s="1405"/>
      <c r="J36" s="1405"/>
      <c r="K36" s="1405"/>
      <c r="L36" s="1405"/>
      <c r="M36" s="1405"/>
      <c r="N36" s="1406"/>
      <c r="O36" s="1406"/>
      <c r="P36" s="1405"/>
    </row>
    <row r="37" spans="1:17">
      <c r="B37" s="1405"/>
      <c r="C37" s="1405"/>
      <c r="D37" s="1405"/>
      <c r="E37" s="1405"/>
      <c r="F37" s="1405"/>
      <c r="G37" s="1405"/>
      <c r="H37" s="1405"/>
      <c r="I37" s="1405"/>
      <c r="J37" s="1405"/>
      <c r="K37" s="1405"/>
      <c r="L37" s="1405"/>
      <c r="M37" s="1405"/>
      <c r="N37" s="1406"/>
      <c r="O37" s="1406"/>
      <c r="P37" s="1405"/>
    </row>
    <row r="38" spans="1:17">
      <c r="B38" s="1405"/>
      <c r="C38" s="1405"/>
      <c r="D38" s="1405"/>
      <c r="E38" s="1405"/>
      <c r="F38" s="1405"/>
      <c r="G38" s="1405"/>
      <c r="H38" s="1405"/>
      <c r="I38" s="1405"/>
      <c r="J38" s="1405"/>
      <c r="K38" s="1405"/>
      <c r="L38" s="1405"/>
      <c r="M38" s="1405"/>
      <c r="N38" s="1406"/>
      <c r="O38" s="1406"/>
      <c r="P38" s="1405"/>
    </row>
    <row r="39" spans="1:17">
      <c r="B39" s="1405"/>
      <c r="C39" s="1405"/>
      <c r="D39" s="1405"/>
      <c r="E39" s="1405"/>
      <c r="F39" s="1405"/>
      <c r="G39" s="1405"/>
      <c r="H39" s="1405"/>
      <c r="I39" s="1405"/>
      <c r="J39" s="1405"/>
      <c r="K39" s="1405"/>
      <c r="L39" s="1405"/>
      <c r="M39" s="1405"/>
      <c r="N39" s="1406"/>
      <c r="O39" s="1406"/>
      <c r="P39" s="1405"/>
    </row>
    <row r="40" spans="1:17">
      <c r="B40" s="1405"/>
      <c r="C40" s="1405"/>
      <c r="D40" s="1405"/>
      <c r="E40" s="1405"/>
      <c r="F40" s="1405"/>
      <c r="G40" s="1405"/>
      <c r="H40" s="1405"/>
      <c r="I40" s="1405"/>
      <c r="J40" s="1405"/>
      <c r="K40" s="1405"/>
      <c r="L40" s="1405"/>
      <c r="M40" s="1405"/>
      <c r="N40" s="1406"/>
      <c r="O40" s="1406"/>
      <c r="P40" s="1405"/>
    </row>
    <row r="41" spans="1:17">
      <c r="B41" s="1405"/>
      <c r="C41" s="1405"/>
      <c r="D41" s="1405"/>
      <c r="E41" s="1405"/>
      <c r="F41" s="1405"/>
      <c r="G41" s="1405"/>
      <c r="H41" s="1405"/>
      <c r="I41" s="1405"/>
      <c r="J41" s="1405"/>
      <c r="K41" s="1405"/>
      <c r="L41" s="1405"/>
      <c r="M41" s="1405"/>
      <c r="N41" s="1406"/>
      <c r="O41" s="1406"/>
      <c r="P41" s="1405"/>
    </row>
    <row r="42" spans="1:17">
      <c r="B42" s="1405"/>
      <c r="C42" s="1405"/>
      <c r="D42" s="1405"/>
      <c r="E42" s="1405"/>
      <c r="F42" s="1405"/>
      <c r="G42" s="1405"/>
      <c r="H42" s="1405"/>
      <c r="I42" s="1405"/>
      <c r="J42" s="1405"/>
      <c r="K42" s="1405"/>
      <c r="L42" s="1405"/>
      <c r="M42" s="1405"/>
      <c r="N42" s="1406"/>
      <c r="O42" s="1406"/>
      <c r="P42" s="1405"/>
    </row>
    <row r="43" spans="1:17">
      <c r="B43" s="1405"/>
      <c r="C43" s="1405"/>
      <c r="D43" s="1405"/>
      <c r="E43" s="1405"/>
      <c r="F43" s="1405"/>
      <c r="G43" s="1405"/>
      <c r="H43" s="1405"/>
      <c r="I43" s="1405"/>
      <c r="J43" s="1405"/>
      <c r="K43" s="1405"/>
      <c r="L43" s="1405"/>
      <c r="M43" s="1405"/>
      <c r="N43" s="1406"/>
      <c r="O43" s="1406"/>
      <c r="P43" s="1405"/>
    </row>
    <row r="44" spans="1:17">
      <c r="B44" s="1405"/>
      <c r="C44" s="1405"/>
      <c r="D44" s="1405"/>
      <c r="E44" s="1405"/>
      <c r="F44" s="1405"/>
      <c r="G44" s="1405"/>
      <c r="H44" s="1405"/>
      <c r="I44" s="1405"/>
      <c r="J44" s="1405"/>
      <c r="K44" s="1405"/>
      <c r="L44" s="1405"/>
      <c r="M44" s="1405"/>
      <c r="N44" s="1406"/>
      <c r="O44" s="1406"/>
      <c r="P44" s="1405"/>
    </row>
    <row r="45" spans="1:17">
      <c r="B45" s="1405"/>
      <c r="C45" s="1405"/>
      <c r="D45" s="1405"/>
      <c r="E45" s="1405"/>
      <c r="F45" s="1405"/>
      <c r="G45" s="1405"/>
      <c r="H45" s="1405"/>
      <c r="I45" s="1405"/>
      <c r="J45" s="1405"/>
      <c r="K45" s="1405"/>
      <c r="L45" s="1405"/>
      <c r="M45" s="1405"/>
      <c r="N45" s="1406"/>
      <c r="O45" s="1406"/>
      <c r="P45" s="1405"/>
    </row>
    <row r="46" spans="1:17">
      <c r="B46" s="1405"/>
      <c r="C46" s="1405"/>
      <c r="D46" s="1405"/>
      <c r="E46" s="1405"/>
      <c r="F46" s="1405"/>
      <c r="G46" s="1405"/>
      <c r="H46" s="1405"/>
      <c r="I46" s="1405"/>
      <c r="J46" s="1405"/>
      <c r="K46" s="1405"/>
      <c r="L46" s="1405"/>
      <c r="M46" s="1405"/>
      <c r="N46" s="1406"/>
      <c r="O46" s="1406"/>
      <c r="P46" s="1405"/>
    </row>
    <row r="47" spans="1:17">
      <c r="B47" s="1405"/>
      <c r="C47" s="1405"/>
      <c r="D47" s="1405"/>
      <c r="E47" s="1405"/>
      <c r="F47" s="1405"/>
      <c r="G47" s="1405"/>
      <c r="H47" s="1405"/>
      <c r="I47" s="1405"/>
      <c r="J47" s="1405"/>
      <c r="K47" s="1405"/>
      <c r="L47" s="1405"/>
      <c r="M47" s="1405"/>
      <c r="N47" s="1406"/>
      <c r="O47" s="1406"/>
      <c r="P47" s="1405"/>
    </row>
    <row r="48" spans="1:17">
      <c r="B48" s="1405"/>
      <c r="C48" s="1405"/>
      <c r="D48" s="1405"/>
      <c r="E48" s="1405"/>
      <c r="F48" s="1405"/>
      <c r="G48" s="1405"/>
      <c r="H48" s="1405"/>
      <c r="I48" s="1405"/>
      <c r="J48" s="1405"/>
      <c r="K48" s="1405"/>
      <c r="L48" s="1405"/>
      <c r="M48" s="1405"/>
      <c r="N48" s="1406"/>
      <c r="O48" s="1406"/>
      <c r="P48" s="1405"/>
    </row>
    <row r="49" spans="2:16">
      <c r="B49" s="1405"/>
      <c r="C49" s="1405"/>
      <c r="D49" s="1405"/>
      <c r="E49" s="1405"/>
      <c r="F49" s="1405"/>
      <c r="G49" s="1405"/>
      <c r="H49" s="1405"/>
      <c r="I49" s="1405"/>
      <c r="J49" s="1405"/>
      <c r="K49" s="1405"/>
      <c r="L49" s="1405"/>
      <c r="M49" s="1405"/>
      <c r="N49" s="1406"/>
      <c r="O49" s="1406"/>
      <c r="P49" s="1405"/>
    </row>
    <row r="50" spans="2:16">
      <c r="B50" s="1405"/>
      <c r="C50" s="1405"/>
      <c r="D50" s="1405"/>
      <c r="E50" s="1405"/>
      <c r="F50" s="1405"/>
      <c r="G50" s="1405"/>
      <c r="H50" s="1405"/>
      <c r="I50" s="1405"/>
      <c r="J50" s="1405"/>
      <c r="K50" s="1405"/>
      <c r="L50" s="1405"/>
      <c r="M50" s="1405"/>
      <c r="N50" s="1406"/>
      <c r="O50" s="1406"/>
      <c r="P50" s="1405"/>
    </row>
    <row r="51" spans="2:16">
      <c r="B51" s="1405"/>
      <c r="C51" s="1405"/>
      <c r="D51" s="1405"/>
      <c r="E51" s="1405"/>
      <c r="F51" s="1405"/>
      <c r="G51" s="1405"/>
      <c r="H51" s="1405"/>
      <c r="I51" s="1405"/>
      <c r="J51" s="1405"/>
      <c r="K51" s="1405"/>
      <c r="L51" s="1405"/>
      <c r="M51" s="1405"/>
      <c r="N51" s="1406"/>
      <c r="O51" s="1406"/>
      <c r="P51" s="1405"/>
    </row>
    <row r="52" spans="2:16">
      <c r="B52" s="1405"/>
      <c r="C52" s="1405"/>
      <c r="D52" s="1405"/>
      <c r="E52" s="1405"/>
      <c r="F52" s="1405"/>
      <c r="G52" s="1405"/>
      <c r="H52" s="1405"/>
      <c r="I52" s="1405"/>
      <c r="J52" s="1405"/>
      <c r="K52" s="1405"/>
      <c r="L52" s="1405"/>
      <c r="M52" s="1405"/>
      <c r="N52" s="1406"/>
      <c r="O52" s="1406"/>
      <c r="P52" s="1405"/>
    </row>
    <row r="53" spans="2:16">
      <c r="B53" s="1405"/>
      <c r="C53" s="1405"/>
      <c r="D53" s="1405"/>
      <c r="E53" s="1405"/>
      <c r="F53" s="1405"/>
      <c r="G53" s="1405"/>
      <c r="H53" s="1405"/>
      <c r="I53" s="1405"/>
      <c r="J53" s="1405"/>
      <c r="K53" s="1405"/>
      <c r="L53" s="1405"/>
      <c r="M53" s="1405"/>
      <c r="N53" s="1406"/>
      <c r="O53" s="1406"/>
      <c r="P53" s="1405"/>
    </row>
    <row r="54" spans="2:16">
      <c r="B54" s="1405"/>
      <c r="C54" s="1405"/>
      <c r="D54" s="1405"/>
      <c r="E54" s="1405"/>
      <c r="F54" s="1405"/>
      <c r="G54" s="1405"/>
      <c r="H54" s="1405"/>
      <c r="I54" s="1405"/>
      <c r="J54" s="1405"/>
      <c r="K54" s="1405"/>
      <c r="L54" s="1405"/>
      <c r="M54" s="1405"/>
      <c r="N54" s="1406"/>
      <c r="O54" s="1406"/>
      <c r="P54" s="1405"/>
    </row>
    <row r="55" spans="2:16">
      <c r="B55" s="1405"/>
      <c r="C55" s="1405"/>
      <c r="D55" s="1405"/>
      <c r="E55" s="1405"/>
      <c r="F55" s="1405"/>
      <c r="G55" s="1405"/>
      <c r="H55" s="1405"/>
      <c r="I55" s="1405"/>
      <c r="J55" s="1405"/>
      <c r="K55" s="1405"/>
      <c r="L55" s="1405"/>
      <c r="M55" s="1405"/>
      <c r="N55" s="1406"/>
      <c r="O55" s="1406"/>
      <c r="P55" s="1405"/>
    </row>
    <row r="56" spans="2:16">
      <c r="B56" s="1405"/>
      <c r="C56" s="1405"/>
      <c r="D56" s="1405"/>
      <c r="E56" s="1405"/>
      <c r="F56" s="1405"/>
      <c r="G56" s="1405"/>
      <c r="H56" s="1405"/>
      <c r="I56" s="1405"/>
      <c r="J56" s="1405"/>
      <c r="K56" s="1405"/>
      <c r="L56" s="1405"/>
      <c r="M56" s="1405"/>
      <c r="N56" s="1406"/>
      <c r="O56" s="1406"/>
      <c r="P56" s="1405"/>
    </row>
    <row r="57" spans="2:16">
      <c r="B57" s="1405"/>
      <c r="C57" s="1405"/>
      <c r="D57" s="1405"/>
      <c r="E57" s="1405"/>
      <c r="F57" s="1405"/>
      <c r="G57" s="1405"/>
      <c r="H57" s="1405"/>
      <c r="I57" s="1405"/>
      <c r="J57" s="1405"/>
      <c r="K57" s="1405"/>
      <c r="L57" s="1405"/>
      <c r="M57" s="1405"/>
      <c r="N57" s="1406"/>
      <c r="O57" s="1406"/>
      <c r="P57" s="1405"/>
    </row>
    <row r="58" spans="2:16">
      <c r="B58" s="1405"/>
      <c r="C58" s="1405"/>
      <c r="D58" s="1405"/>
      <c r="E58" s="1405"/>
      <c r="F58" s="1405"/>
      <c r="G58" s="1405"/>
      <c r="H58" s="1405"/>
      <c r="I58" s="1405"/>
      <c r="J58" s="1405"/>
      <c r="K58" s="1405"/>
      <c r="L58" s="1405"/>
      <c r="M58" s="1405"/>
      <c r="N58" s="1406"/>
      <c r="O58" s="1406"/>
      <c r="P58" s="1405"/>
    </row>
    <row r="59" spans="2:16">
      <c r="B59" s="1405"/>
      <c r="C59" s="1405"/>
      <c r="D59" s="1405"/>
      <c r="E59" s="1405"/>
      <c r="F59" s="1405"/>
      <c r="G59" s="1405"/>
      <c r="H59" s="1405"/>
      <c r="I59" s="1405"/>
      <c r="J59" s="1405"/>
      <c r="K59" s="1405"/>
      <c r="L59" s="1405"/>
      <c r="M59" s="1405"/>
      <c r="N59" s="1406"/>
      <c r="O59" s="1406"/>
      <c r="P59" s="1405"/>
    </row>
    <row r="60" spans="2:16">
      <c r="B60" s="1405"/>
      <c r="C60" s="1405"/>
      <c r="D60" s="1405"/>
      <c r="E60" s="1405"/>
      <c r="F60" s="1405"/>
      <c r="G60" s="1405"/>
      <c r="H60" s="1405"/>
      <c r="I60" s="1405"/>
      <c r="J60" s="1405"/>
      <c r="K60" s="1405"/>
      <c r="L60" s="1405"/>
      <c r="M60" s="1405"/>
      <c r="N60" s="1406"/>
      <c r="O60" s="1406"/>
      <c r="P60" s="1405"/>
    </row>
    <row r="61" spans="2:16">
      <c r="B61" s="1405"/>
      <c r="C61" s="1405"/>
      <c r="D61" s="1405"/>
      <c r="E61" s="1405"/>
      <c r="F61" s="1405"/>
      <c r="G61" s="1405"/>
      <c r="H61" s="1405"/>
      <c r="I61" s="1405"/>
      <c r="J61" s="1405"/>
      <c r="K61" s="1405"/>
      <c r="L61" s="1405"/>
      <c r="M61" s="1405"/>
      <c r="N61" s="1406"/>
      <c r="O61" s="1406"/>
      <c r="P61" s="1405"/>
    </row>
    <row r="62" spans="2:16">
      <c r="B62" s="1405"/>
      <c r="C62" s="1405"/>
      <c r="D62" s="1405"/>
      <c r="E62" s="1405"/>
      <c r="F62" s="1405"/>
      <c r="G62" s="1405"/>
      <c r="H62" s="1405"/>
      <c r="I62" s="1405"/>
      <c r="J62" s="1405"/>
      <c r="K62" s="1405"/>
      <c r="L62" s="1405"/>
      <c r="M62" s="1405"/>
      <c r="N62" s="1406"/>
      <c r="O62" s="1406"/>
      <c r="P62" s="1405"/>
    </row>
    <row r="63" spans="2:16">
      <c r="B63" s="1405"/>
      <c r="C63" s="1405"/>
      <c r="D63" s="1405"/>
      <c r="E63" s="1405"/>
      <c r="F63" s="1405"/>
      <c r="G63" s="1405"/>
      <c r="H63" s="1405"/>
      <c r="I63" s="1405"/>
      <c r="J63" s="1405"/>
      <c r="K63" s="1405"/>
      <c r="L63" s="1405"/>
      <c r="M63" s="1405"/>
      <c r="N63" s="1406"/>
      <c r="O63" s="1406"/>
      <c r="P63" s="1405"/>
    </row>
    <row r="64" spans="2:16">
      <c r="B64" s="1405"/>
      <c r="C64" s="1405"/>
      <c r="D64" s="1405"/>
      <c r="E64" s="1405"/>
      <c r="F64" s="1405"/>
      <c r="G64" s="1405"/>
      <c r="H64" s="1405"/>
      <c r="I64" s="1405"/>
      <c r="J64" s="1405"/>
      <c r="K64" s="1405"/>
      <c r="L64" s="1405"/>
      <c r="M64" s="1405"/>
      <c r="N64" s="1406"/>
      <c r="O64" s="1406"/>
      <c r="P64" s="1405"/>
    </row>
    <row r="65" spans="2:16">
      <c r="B65" s="1405"/>
      <c r="C65" s="1405"/>
      <c r="D65" s="1405"/>
      <c r="E65" s="1405"/>
      <c r="F65" s="1405"/>
      <c r="G65" s="1405"/>
      <c r="H65" s="1405"/>
      <c r="I65" s="1405"/>
      <c r="J65" s="1405"/>
      <c r="K65" s="1405"/>
      <c r="L65" s="1405"/>
      <c r="M65" s="1405"/>
      <c r="N65" s="1406"/>
      <c r="O65" s="1406"/>
      <c r="P65" s="1405"/>
    </row>
    <row r="66" spans="2:16">
      <c r="B66" s="1405"/>
      <c r="C66" s="1405"/>
      <c r="D66" s="1405"/>
      <c r="E66" s="1405"/>
      <c r="F66" s="1405"/>
      <c r="G66" s="1405"/>
      <c r="H66" s="1405"/>
      <c r="I66" s="1405"/>
      <c r="J66" s="1405"/>
      <c r="K66" s="1405"/>
      <c r="L66" s="1405"/>
      <c r="M66" s="1405"/>
      <c r="N66" s="1406"/>
      <c r="O66" s="1406"/>
      <c r="P66" s="1405"/>
    </row>
    <row r="67" spans="2:16" ht="13.5" customHeight="1">
      <c r="B67" s="1405"/>
      <c r="C67" s="1405"/>
      <c r="D67" s="1405"/>
      <c r="E67" s="1405"/>
      <c r="F67" s="1405"/>
      <c r="G67" s="1405"/>
      <c r="H67" s="1405"/>
      <c r="I67" s="1405"/>
      <c r="J67" s="1405"/>
      <c r="K67" s="1405"/>
      <c r="L67" s="1405"/>
      <c r="M67" s="1405"/>
      <c r="N67" s="1406"/>
      <c r="O67" s="1406"/>
      <c r="P67" s="1405"/>
    </row>
    <row r="68" spans="2:16" ht="13.5" customHeight="1">
      <c r="B68" s="1405"/>
      <c r="C68" s="1405"/>
      <c r="D68" s="1405"/>
      <c r="E68" s="1405"/>
      <c r="F68" s="1405"/>
      <c r="G68" s="1405"/>
      <c r="H68" s="1405"/>
      <c r="I68" s="1405"/>
      <c r="J68" s="1405"/>
      <c r="K68" s="1405"/>
      <c r="L68" s="1405"/>
      <c r="M68" s="1405"/>
      <c r="N68" s="1406"/>
      <c r="O68" s="1406"/>
      <c r="P68" s="1405"/>
    </row>
    <row r="69" spans="2:16" ht="13.5" customHeight="1">
      <c r="B69" s="1405"/>
      <c r="C69" s="1405"/>
      <c r="D69" s="1405"/>
      <c r="E69" s="1405"/>
      <c r="F69" s="1405"/>
      <c r="G69" s="1405"/>
      <c r="H69" s="1405"/>
      <c r="I69" s="1405"/>
      <c r="J69" s="1405"/>
      <c r="K69" s="1405"/>
      <c r="L69" s="1405"/>
      <c r="M69" s="1405"/>
      <c r="N69" s="1406"/>
      <c r="O69" s="1406"/>
      <c r="P69" s="1405"/>
    </row>
    <row r="70" spans="2:16" ht="13.5" customHeight="1">
      <c r="B70" s="1405"/>
      <c r="C70" s="1405"/>
      <c r="D70" s="1405"/>
      <c r="E70" s="1405"/>
      <c r="F70" s="1405"/>
      <c r="G70" s="1405"/>
      <c r="H70" s="1405"/>
      <c r="I70" s="1405"/>
      <c r="J70" s="1405"/>
      <c r="K70" s="1405"/>
      <c r="L70" s="1405"/>
      <c r="M70" s="1405"/>
      <c r="N70" s="1406"/>
      <c r="O70" s="1406"/>
      <c r="P70" s="1405"/>
    </row>
    <row r="71" spans="2:16" ht="13.5" customHeight="1">
      <c r="B71" s="1405"/>
      <c r="C71" s="1405"/>
      <c r="D71" s="1405"/>
      <c r="E71" s="1405"/>
      <c r="F71" s="1405"/>
      <c r="G71" s="1405"/>
      <c r="H71" s="1405"/>
      <c r="I71" s="1405"/>
      <c r="J71" s="1405"/>
      <c r="K71" s="1405"/>
      <c r="L71" s="1405"/>
      <c r="M71" s="1405"/>
      <c r="N71" s="1406"/>
      <c r="O71" s="1406"/>
      <c r="P71" s="1405"/>
    </row>
    <row r="72" spans="2:16" ht="13.5" customHeight="1">
      <c r="B72" s="1405"/>
      <c r="C72" s="1405"/>
      <c r="D72" s="1405"/>
      <c r="E72" s="1405"/>
      <c r="F72" s="1405"/>
      <c r="G72" s="1405"/>
      <c r="H72" s="1405"/>
      <c r="I72" s="1405"/>
      <c r="J72" s="1405"/>
      <c r="K72" s="1405"/>
      <c r="L72" s="1405"/>
      <c r="M72" s="1405"/>
      <c r="N72" s="1406"/>
      <c r="O72" s="1406"/>
      <c r="P72" s="1405"/>
    </row>
    <row r="73" spans="2:16" ht="13.5" customHeight="1">
      <c r="B73" s="1405"/>
      <c r="C73" s="1405"/>
      <c r="D73" s="1405"/>
      <c r="E73" s="1405"/>
      <c r="F73" s="1405"/>
      <c r="G73" s="1405"/>
      <c r="H73" s="1405"/>
      <c r="I73" s="1405"/>
      <c r="J73" s="1405"/>
      <c r="K73" s="1405"/>
      <c r="L73" s="1405"/>
      <c r="M73" s="1405"/>
      <c r="N73" s="1406"/>
      <c r="O73" s="1406"/>
      <c r="P73" s="1405"/>
    </row>
    <row r="74" spans="2:16" ht="13.5" customHeight="1">
      <c r="B74" s="1405"/>
      <c r="C74" s="1405"/>
      <c r="D74" s="1405"/>
      <c r="E74" s="1405"/>
      <c r="F74" s="1405"/>
      <c r="G74" s="1405"/>
      <c r="H74" s="1405"/>
      <c r="I74" s="1405"/>
      <c r="J74" s="1405"/>
      <c r="K74" s="1405"/>
      <c r="L74" s="1405"/>
      <c r="M74" s="1405"/>
      <c r="N74" s="1406"/>
      <c r="O74" s="1406"/>
      <c r="P74" s="1405"/>
    </row>
    <row r="75" spans="2:16" ht="13.5" customHeight="1">
      <c r="B75" s="1405"/>
      <c r="C75" s="1405"/>
      <c r="D75" s="1405"/>
      <c r="E75" s="1405"/>
      <c r="F75" s="1405"/>
      <c r="G75" s="1405"/>
      <c r="H75" s="1405"/>
      <c r="I75" s="1405"/>
      <c r="J75" s="1405"/>
      <c r="K75" s="1405"/>
      <c r="L75" s="1405"/>
      <c r="M75" s="1405"/>
      <c r="N75" s="1406"/>
      <c r="O75" s="1406"/>
      <c r="P75" s="1405"/>
    </row>
    <row r="76" spans="2:16" ht="13.5" customHeight="1">
      <c r="B76" s="1405"/>
      <c r="C76" s="1405"/>
      <c r="D76" s="1405"/>
      <c r="E76" s="1405"/>
      <c r="F76" s="1405"/>
      <c r="G76" s="1405"/>
      <c r="H76" s="1405"/>
      <c r="I76" s="1405"/>
      <c r="J76" s="1405"/>
      <c r="K76" s="1405"/>
      <c r="L76" s="1405"/>
      <c r="M76" s="1405"/>
      <c r="N76" s="1406"/>
      <c r="O76" s="1406"/>
      <c r="P76" s="1405"/>
    </row>
    <row r="77" spans="2:16" ht="13.5" customHeight="1">
      <c r="B77" s="1405"/>
      <c r="C77" s="1405"/>
      <c r="D77" s="1405"/>
      <c r="E77" s="1405"/>
      <c r="F77" s="1405"/>
      <c r="G77" s="1405"/>
      <c r="H77" s="1405"/>
      <c r="I77" s="1405"/>
      <c r="J77" s="1405"/>
      <c r="K77" s="1405"/>
      <c r="L77" s="1405"/>
      <c r="M77" s="1405"/>
      <c r="N77" s="1406"/>
      <c r="O77" s="1406"/>
      <c r="P77" s="1405"/>
    </row>
    <row r="78" spans="2:16" ht="13.5" customHeight="1">
      <c r="B78" s="1405"/>
      <c r="C78" s="1405"/>
      <c r="D78" s="1405"/>
      <c r="E78" s="1405"/>
      <c r="F78" s="1405"/>
      <c r="G78" s="1405"/>
      <c r="H78" s="1405"/>
      <c r="I78" s="1405"/>
      <c r="J78" s="1405"/>
      <c r="K78" s="1405"/>
      <c r="L78" s="1405"/>
      <c r="M78" s="1405"/>
      <c r="N78" s="1406"/>
      <c r="O78" s="1406"/>
      <c r="P78" s="1405"/>
    </row>
    <row r="79" spans="2:16" ht="13.5" customHeight="1">
      <c r="B79" s="1405"/>
      <c r="C79" s="1405"/>
      <c r="D79" s="1405"/>
      <c r="E79" s="1405"/>
      <c r="F79" s="1405"/>
      <c r="G79" s="1405"/>
      <c r="H79" s="1405"/>
      <c r="I79" s="1405"/>
      <c r="J79" s="1405"/>
      <c r="K79" s="1405"/>
      <c r="L79" s="1405"/>
      <c r="M79" s="1405"/>
      <c r="N79" s="1406"/>
      <c r="O79" s="1406"/>
      <c r="P79" s="1405"/>
    </row>
    <row r="80" spans="2:16" ht="13.5" customHeight="1">
      <c r="B80" s="1405"/>
      <c r="C80" s="1405"/>
      <c r="D80" s="1405"/>
      <c r="E80" s="1405"/>
      <c r="F80" s="1405"/>
      <c r="G80" s="1405"/>
      <c r="H80" s="1405"/>
      <c r="I80" s="1405"/>
      <c r="J80" s="1405"/>
      <c r="K80" s="1405"/>
      <c r="L80" s="1405"/>
      <c r="M80" s="1405"/>
      <c r="N80" s="1406"/>
      <c r="O80" s="1406"/>
      <c r="P80" s="1405"/>
    </row>
    <row r="81" spans="2:16" ht="13.5" customHeight="1">
      <c r="B81" s="1405"/>
      <c r="C81" s="1405"/>
      <c r="D81" s="1405"/>
      <c r="E81" s="1405"/>
      <c r="F81" s="1405"/>
      <c r="G81" s="1405"/>
      <c r="H81" s="1405"/>
      <c r="I81" s="1405"/>
      <c r="J81" s="1405"/>
      <c r="K81" s="1405"/>
      <c r="L81" s="1405"/>
      <c r="M81" s="1405"/>
      <c r="N81" s="1406"/>
      <c r="O81" s="1406"/>
      <c r="P81" s="1405"/>
    </row>
    <row r="82" spans="2:16" ht="13.5" customHeight="1">
      <c r="B82" s="1405"/>
      <c r="C82" s="1405"/>
      <c r="D82" s="1405"/>
      <c r="E82" s="1405"/>
      <c r="F82" s="1405"/>
      <c r="G82" s="1405"/>
      <c r="H82" s="1405"/>
      <c r="I82" s="1405"/>
      <c r="J82" s="1405"/>
      <c r="K82" s="1405"/>
      <c r="L82" s="1405"/>
      <c r="M82" s="1405"/>
      <c r="N82" s="1406"/>
      <c r="O82" s="1406"/>
      <c r="P82" s="1405"/>
    </row>
    <row r="83" spans="2:16" ht="13.5" customHeight="1">
      <c r="B83" s="1405"/>
      <c r="C83" s="1405"/>
      <c r="D83" s="1405"/>
      <c r="E83" s="1405"/>
      <c r="F83" s="1405"/>
      <c r="G83" s="1405"/>
      <c r="H83" s="1405"/>
      <c r="I83" s="1405"/>
      <c r="J83" s="1405"/>
      <c r="K83" s="1405"/>
      <c r="L83" s="1405"/>
      <c r="M83" s="1405"/>
      <c r="N83" s="1406"/>
      <c r="O83" s="1406"/>
      <c r="P83" s="1405"/>
    </row>
    <row r="84" spans="2:16" ht="13.5" customHeight="1">
      <c r="B84" s="1405"/>
      <c r="C84" s="1405"/>
      <c r="D84" s="1405"/>
      <c r="E84" s="1405"/>
      <c r="F84" s="1405"/>
      <c r="G84" s="1405"/>
      <c r="H84" s="1405"/>
      <c r="I84" s="1405"/>
      <c r="J84" s="1405"/>
      <c r="K84" s="1405"/>
      <c r="L84" s="1405"/>
      <c r="M84" s="1405"/>
      <c r="N84" s="1406"/>
      <c r="O84" s="1406"/>
      <c r="P84" s="1405"/>
    </row>
    <row r="85" spans="2:16">
      <c r="B85" s="1405"/>
      <c r="C85" s="1405"/>
      <c r="D85" s="1405"/>
      <c r="E85" s="1405"/>
      <c r="F85" s="1405"/>
      <c r="G85" s="1405"/>
      <c r="H85" s="1405"/>
      <c r="I85" s="1405"/>
      <c r="J85" s="1405"/>
      <c r="K85" s="1405"/>
      <c r="L85" s="1405"/>
      <c r="M85" s="1405"/>
      <c r="N85" s="1406"/>
      <c r="O85" s="1406"/>
      <c r="P85" s="1405"/>
    </row>
    <row r="86" spans="2:16">
      <c r="B86" s="1405"/>
      <c r="C86" s="1405"/>
      <c r="D86" s="1405"/>
      <c r="E86" s="1405"/>
      <c r="F86" s="1405"/>
      <c r="G86" s="1405"/>
      <c r="H86" s="1405"/>
      <c r="I86" s="1405"/>
      <c r="J86" s="1405"/>
      <c r="K86" s="1405"/>
      <c r="L86" s="1405"/>
      <c r="M86" s="1405"/>
      <c r="N86" s="1406"/>
      <c r="O86" s="1406"/>
      <c r="P86" s="1405"/>
    </row>
    <row r="87" spans="2:16">
      <c r="B87" s="1405"/>
      <c r="C87" s="1405"/>
      <c r="D87" s="1405"/>
      <c r="E87" s="1405"/>
      <c r="F87" s="1405"/>
      <c r="G87" s="1405"/>
      <c r="H87" s="1405"/>
      <c r="I87" s="1405"/>
      <c r="J87" s="1405"/>
      <c r="K87" s="1405"/>
      <c r="L87" s="1405"/>
      <c r="M87" s="1405"/>
      <c r="N87" s="1406"/>
      <c r="O87" s="1406"/>
      <c r="P87" s="1405"/>
    </row>
    <row r="88" spans="2:16">
      <c r="B88" s="1405"/>
      <c r="C88" s="1405"/>
      <c r="D88" s="1405"/>
      <c r="E88" s="1405"/>
      <c r="F88" s="1405"/>
      <c r="G88" s="1405"/>
      <c r="H88" s="1405"/>
      <c r="I88" s="1405"/>
      <c r="J88" s="1405"/>
      <c r="K88" s="1405"/>
      <c r="L88" s="1405"/>
      <c r="M88" s="1405"/>
      <c r="N88" s="1406"/>
      <c r="O88" s="1406"/>
      <c r="P88" s="1405"/>
    </row>
    <row r="89" spans="2:16">
      <c r="B89" s="1405"/>
      <c r="C89" s="1405"/>
      <c r="D89" s="1405"/>
      <c r="E89" s="1405"/>
      <c r="F89" s="1405"/>
      <c r="G89" s="1405"/>
      <c r="H89" s="1405"/>
      <c r="I89" s="1405"/>
      <c r="J89" s="1405"/>
      <c r="K89" s="1405"/>
      <c r="L89" s="1405"/>
      <c r="M89" s="1405"/>
      <c r="N89" s="1406"/>
      <c r="O89" s="1406"/>
      <c r="P89" s="1405"/>
    </row>
    <row r="90" spans="2:16">
      <c r="B90" s="1405"/>
      <c r="C90" s="1405"/>
      <c r="D90" s="1405"/>
      <c r="E90" s="1405"/>
      <c r="F90" s="1405"/>
      <c r="G90" s="1405"/>
      <c r="H90" s="1405"/>
      <c r="I90" s="1405"/>
      <c r="J90" s="1405"/>
      <c r="K90" s="1405"/>
      <c r="L90" s="1405"/>
      <c r="M90" s="1405"/>
      <c r="N90" s="1406"/>
      <c r="O90" s="1406"/>
      <c r="P90" s="1405"/>
    </row>
    <row r="91" spans="2:16">
      <c r="B91" s="1405"/>
      <c r="C91" s="1405"/>
      <c r="D91" s="1405"/>
      <c r="E91" s="1405"/>
      <c r="F91" s="1405"/>
      <c r="G91" s="1405"/>
      <c r="H91" s="1405"/>
      <c r="I91" s="1405"/>
      <c r="J91" s="1405"/>
      <c r="K91" s="1405"/>
      <c r="L91" s="1405"/>
      <c r="M91" s="1405"/>
      <c r="N91" s="1406"/>
      <c r="O91" s="1406"/>
      <c r="P91" s="1405"/>
    </row>
    <row r="92" spans="2:16">
      <c r="B92" s="1405"/>
      <c r="C92" s="1405"/>
      <c r="D92" s="1405"/>
      <c r="E92" s="1405"/>
      <c r="F92" s="1405"/>
      <c r="G92" s="1405"/>
      <c r="H92" s="1405"/>
      <c r="I92" s="1405"/>
      <c r="J92" s="1405"/>
      <c r="K92" s="1405"/>
      <c r="L92" s="1405"/>
      <c r="M92" s="1405"/>
      <c r="N92" s="1406"/>
      <c r="O92" s="1406"/>
      <c r="P92" s="1405"/>
    </row>
    <row r="93" spans="2:16">
      <c r="B93" s="1405"/>
      <c r="C93" s="1405"/>
      <c r="D93" s="1405"/>
      <c r="E93" s="1405"/>
      <c r="F93" s="1405"/>
      <c r="G93" s="1405"/>
      <c r="H93" s="1405"/>
      <c r="I93" s="1405"/>
      <c r="J93" s="1405"/>
      <c r="K93" s="1405"/>
      <c r="L93" s="1405"/>
      <c r="M93" s="1405"/>
      <c r="N93" s="1406"/>
      <c r="O93" s="1406"/>
      <c r="P93" s="1405"/>
    </row>
    <row r="94" spans="2:16">
      <c r="B94" s="1405"/>
      <c r="C94" s="1405"/>
      <c r="D94" s="1405"/>
      <c r="E94" s="1405"/>
      <c r="F94" s="1405"/>
      <c r="G94" s="1405"/>
      <c r="H94" s="1405"/>
      <c r="I94" s="1405"/>
      <c r="J94" s="1405"/>
      <c r="K94" s="1405"/>
      <c r="L94" s="1405"/>
      <c r="M94" s="1405"/>
      <c r="N94" s="1406"/>
      <c r="O94" s="1406"/>
      <c r="P94" s="1405"/>
    </row>
    <row r="95" spans="2:16">
      <c r="B95" s="1405"/>
      <c r="C95" s="1405"/>
      <c r="D95" s="1405"/>
      <c r="E95" s="1405"/>
      <c r="F95" s="1405"/>
      <c r="G95" s="1405"/>
      <c r="H95" s="1405"/>
      <c r="I95" s="1405"/>
      <c r="J95" s="1405"/>
      <c r="K95" s="1405"/>
      <c r="L95" s="1405"/>
      <c r="M95" s="1405"/>
      <c r="N95" s="1406"/>
      <c r="O95" s="1406"/>
      <c r="P95" s="1405"/>
    </row>
    <row r="96" spans="2:16">
      <c r="B96" s="1405"/>
      <c r="C96" s="1405"/>
      <c r="D96" s="1405"/>
      <c r="E96" s="1405"/>
      <c r="F96" s="1405"/>
      <c r="G96" s="1405"/>
      <c r="H96" s="1405"/>
      <c r="I96" s="1405"/>
      <c r="J96" s="1405"/>
      <c r="K96" s="1405"/>
      <c r="L96" s="1405"/>
      <c r="M96" s="1405"/>
      <c r="N96" s="1406"/>
      <c r="O96" s="1406"/>
      <c r="P96" s="1405"/>
    </row>
    <row r="97" spans="2:16">
      <c r="B97" s="1405"/>
      <c r="C97" s="1405"/>
      <c r="D97" s="1405"/>
      <c r="E97" s="1405"/>
      <c r="F97" s="1405"/>
      <c r="G97" s="1405"/>
      <c r="H97" s="1405"/>
      <c r="I97" s="1405"/>
      <c r="J97" s="1405"/>
      <c r="K97" s="1405"/>
      <c r="L97" s="1405"/>
      <c r="M97" s="1405"/>
      <c r="N97" s="1406"/>
      <c r="O97" s="1406"/>
      <c r="P97" s="1405"/>
    </row>
    <row r="98" spans="2:16">
      <c r="B98" s="1405"/>
      <c r="C98" s="1405"/>
      <c r="D98" s="1405"/>
      <c r="E98" s="1405"/>
      <c r="F98" s="1405"/>
      <c r="G98" s="1405"/>
      <c r="H98" s="1405"/>
      <c r="I98" s="1405"/>
      <c r="J98" s="1405"/>
      <c r="K98" s="1405"/>
      <c r="L98" s="1405"/>
      <c r="M98" s="1405"/>
      <c r="N98" s="1406"/>
      <c r="O98" s="1406"/>
      <c r="P98" s="1405"/>
    </row>
    <row r="99" spans="2:16">
      <c r="B99" s="1405"/>
      <c r="C99" s="1405"/>
      <c r="D99" s="1405"/>
      <c r="E99" s="1405"/>
      <c r="F99" s="1405"/>
      <c r="G99" s="1405"/>
      <c r="H99" s="1405"/>
      <c r="I99" s="1405"/>
      <c r="J99" s="1405"/>
      <c r="K99" s="1405"/>
      <c r="L99" s="1405"/>
      <c r="M99" s="1405"/>
      <c r="N99" s="1406"/>
      <c r="O99" s="1406"/>
      <c r="P99" s="1405"/>
    </row>
    <row r="100" spans="2:16">
      <c r="B100" s="1405"/>
      <c r="C100" s="1405"/>
      <c r="D100" s="1405"/>
      <c r="E100" s="1405"/>
      <c r="F100" s="1405"/>
      <c r="G100" s="1405"/>
      <c r="H100" s="1405"/>
      <c r="I100" s="1405"/>
      <c r="J100" s="1405"/>
      <c r="K100" s="1405"/>
      <c r="L100" s="1405"/>
      <c r="M100" s="1405"/>
      <c r="N100" s="1406"/>
      <c r="O100" s="1406"/>
      <c r="P100" s="1405"/>
    </row>
    <row r="101" spans="2:16">
      <c r="B101" s="1405"/>
      <c r="C101" s="1405"/>
      <c r="D101" s="1405"/>
      <c r="E101" s="1405"/>
      <c r="F101" s="1405"/>
      <c r="G101" s="1405"/>
      <c r="H101" s="1405"/>
      <c r="I101" s="1405"/>
      <c r="J101" s="1405"/>
      <c r="K101" s="1405"/>
      <c r="L101" s="1405"/>
      <c r="M101" s="1405"/>
      <c r="N101" s="1406"/>
      <c r="O101" s="1406"/>
      <c r="P101" s="1405"/>
    </row>
    <row r="102" spans="2:16">
      <c r="B102" s="1405"/>
      <c r="C102" s="1405"/>
      <c r="D102" s="1405"/>
      <c r="E102" s="1405"/>
      <c r="F102" s="1405"/>
      <c r="G102" s="1405"/>
      <c r="H102" s="1405"/>
      <c r="I102" s="1405"/>
      <c r="J102" s="1405"/>
      <c r="K102" s="1405"/>
      <c r="L102" s="1405"/>
      <c r="M102" s="1405"/>
      <c r="N102" s="1406"/>
      <c r="O102" s="1406"/>
      <c r="P102" s="1405"/>
    </row>
    <row r="103" spans="2:16">
      <c r="B103" s="1405"/>
      <c r="C103" s="1405"/>
      <c r="D103" s="1405"/>
      <c r="E103" s="1405"/>
      <c r="F103" s="1405"/>
      <c r="G103" s="1405"/>
      <c r="H103" s="1405"/>
      <c r="I103" s="1405"/>
      <c r="J103" s="1405"/>
      <c r="K103" s="1405"/>
      <c r="L103" s="1405"/>
      <c r="M103" s="1405"/>
      <c r="N103" s="1406"/>
      <c r="O103" s="1406"/>
      <c r="P103" s="1405"/>
    </row>
    <row r="104" spans="2:16">
      <c r="B104" s="1405"/>
      <c r="C104" s="1405"/>
      <c r="D104" s="1405"/>
      <c r="E104" s="1405"/>
      <c r="F104" s="1405"/>
      <c r="G104" s="1405"/>
      <c r="H104" s="1405"/>
      <c r="I104" s="1405"/>
      <c r="J104" s="1405"/>
      <c r="K104" s="1405"/>
      <c r="L104" s="1405"/>
      <c r="M104" s="1405"/>
      <c r="N104" s="1406"/>
      <c r="O104" s="1406"/>
      <c r="P104" s="1405"/>
    </row>
    <row r="105" spans="2:16">
      <c r="B105" s="1405"/>
      <c r="C105" s="1405"/>
      <c r="D105" s="1405"/>
      <c r="E105" s="1405"/>
      <c r="F105" s="1405"/>
      <c r="G105" s="1405"/>
      <c r="H105" s="1405"/>
      <c r="I105" s="1405"/>
      <c r="J105" s="1405"/>
      <c r="K105" s="1405"/>
      <c r="L105" s="1405"/>
      <c r="M105" s="1405"/>
      <c r="N105" s="1406"/>
      <c r="O105" s="1406"/>
      <c r="P105" s="1405"/>
    </row>
    <row r="106" spans="2:16">
      <c r="B106" s="1405"/>
      <c r="C106" s="1405"/>
      <c r="D106" s="1405"/>
      <c r="E106" s="1405"/>
      <c r="F106" s="1405"/>
      <c r="G106" s="1405"/>
      <c r="H106" s="1405"/>
      <c r="I106" s="1405"/>
      <c r="J106" s="1405"/>
      <c r="K106" s="1405"/>
      <c r="L106" s="1405"/>
      <c r="M106" s="1405"/>
      <c r="N106" s="1406"/>
      <c r="O106" s="1406"/>
      <c r="P106" s="1405"/>
    </row>
    <row r="107" spans="2:16">
      <c r="B107" s="1405"/>
      <c r="C107" s="1405"/>
      <c r="D107" s="1405"/>
      <c r="E107" s="1405"/>
      <c r="F107" s="1405"/>
      <c r="G107" s="1405"/>
      <c r="H107" s="1405"/>
      <c r="I107" s="1405"/>
      <c r="J107" s="1405"/>
      <c r="K107" s="1405"/>
      <c r="L107" s="1405"/>
      <c r="M107" s="1405"/>
      <c r="N107" s="1406"/>
      <c r="O107" s="1406"/>
      <c r="P107" s="1405"/>
    </row>
    <row r="108" spans="2:16">
      <c r="B108" s="1405"/>
      <c r="C108" s="1405"/>
      <c r="D108" s="1405"/>
      <c r="E108" s="1405"/>
      <c r="F108" s="1405"/>
      <c r="G108" s="1405"/>
      <c r="H108" s="1405"/>
      <c r="I108" s="1405"/>
      <c r="J108" s="1405"/>
      <c r="K108" s="1405"/>
      <c r="L108" s="1405"/>
      <c r="M108" s="1405"/>
      <c r="N108" s="1406"/>
      <c r="O108" s="1406"/>
      <c r="P108" s="1405"/>
    </row>
    <row r="109" spans="2:16">
      <c r="B109" s="1405"/>
      <c r="C109" s="1405"/>
      <c r="D109" s="1405"/>
      <c r="E109" s="1405"/>
      <c r="F109" s="1405"/>
      <c r="G109" s="1405"/>
      <c r="H109" s="1405"/>
      <c r="I109" s="1405"/>
      <c r="J109" s="1405"/>
      <c r="K109" s="1405"/>
      <c r="L109" s="1405"/>
      <c r="M109" s="1405"/>
      <c r="N109" s="1406"/>
      <c r="O109" s="1406"/>
      <c r="P109" s="1405"/>
    </row>
    <row r="110" spans="2:16">
      <c r="B110" s="1405"/>
      <c r="C110" s="1405"/>
      <c r="D110" s="1405"/>
      <c r="E110" s="1405"/>
      <c r="F110" s="1405"/>
      <c r="G110" s="1405"/>
      <c r="H110" s="1405"/>
      <c r="I110" s="1405"/>
      <c r="J110" s="1405"/>
      <c r="K110" s="1405"/>
      <c r="L110" s="1405"/>
      <c r="M110" s="1405"/>
      <c r="N110" s="1406"/>
      <c r="O110" s="1406"/>
      <c r="P110" s="1405"/>
    </row>
    <row r="111" spans="2:16">
      <c r="B111" s="1405"/>
      <c r="C111" s="1405"/>
      <c r="D111" s="1405"/>
      <c r="E111" s="1405"/>
      <c r="F111" s="1405"/>
      <c r="G111" s="1405"/>
      <c r="H111" s="1405"/>
      <c r="I111" s="1405"/>
      <c r="J111" s="1405"/>
      <c r="K111" s="1405"/>
      <c r="L111" s="1405"/>
      <c r="M111" s="1405"/>
      <c r="N111" s="1406"/>
      <c r="O111" s="1406"/>
      <c r="P111" s="1405"/>
    </row>
    <row r="112" spans="2:16">
      <c r="B112" s="1405"/>
      <c r="C112" s="1405"/>
      <c r="D112" s="1405"/>
      <c r="E112" s="1405"/>
      <c r="F112" s="1405"/>
      <c r="G112" s="1405"/>
      <c r="H112" s="1405"/>
      <c r="I112" s="1405"/>
      <c r="J112" s="1405"/>
      <c r="K112" s="1405"/>
      <c r="L112" s="1405"/>
      <c r="M112" s="1405"/>
      <c r="N112" s="1406"/>
      <c r="O112" s="1406"/>
      <c r="P112" s="1405"/>
    </row>
    <row r="113" spans="2:16">
      <c r="B113" s="1405"/>
      <c r="C113" s="1405"/>
      <c r="D113" s="1405"/>
      <c r="E113" s="1405"/>
      <c r="F113" s="1405"/>
      <c r="G113" s="1405"/>
      <c r="H113" s="1405"/>
      <c r="I113" s="1405"/>
      <c r="J113" s="1405"/>
      <c r="K113" s="1405"/>
      <c r="L113" s="1405"/>
      <c r="M113" s="1405"/>
      <c r="N113" s="1406"/>
      <c r="O113" s="1406"/>
      <c r="P113" s="1405"/>
    </row>
    <row r="114" spans="2:16">
      <c r="B114" s="1405"/>
      <c r="C114" s="1405"/>
      <c r="D114" s="1405"/>
      <c r="E114" s="1405"/>
      <c r="F114" s="1405"/>
      <c r="G114" s="1405"/>
      <c r="H114" s="1405"/>
      <c r="I114" s="1405"/>
      <c r="J114" s="1405"/>
      <c r="K114" s="1405"/>
      <c r="L114" s="1405"/>
      <c r="M114" s="1405"/>
      <c r="N114" s="1406"/>
      <c r="O114" s="1406"/>
      <c r="P114" s="1405"/>
    </row>
    <row r="115" spans="2:16">
      <c r="B115" s="1405"/>
      <c r="C115" s="1405"/>
      <c r="D115" s="1405"/>
      <c r="E115" s="1405"/>
      <c r="F115" s="1405"/>
      <c r="G115" s="1405"/>
      <c r="H115" s="1405"/>
      <c r="I115" s="1405"/>
      <c r="J115" s="1405"/>
      <c r="K115" s="1405"/>
      <c r="L115" s="1405"/>
      <c r="M115" s="1405"/>
      <c r="N115" s="1406"/>
      <c r="O115" s="1406"/>
      <c r="P115" s="1405"/>
    </row>
    <row r="116" spans="2:16">
      <c r="B116" s="1405"/>
      <c r="C116" s="1405"/>
      <c r="D116" s="1405"/>
      <c r="E116" s="1405"/>
      <c r="F116" s="1405"/>
      <c r="G116" s="1405"/>
      <c r="H116" s="1405"/>
      <c r="I116" s="1405"/>
      <c r="J116" s="1405"/>
      <c r="K116" s="1405"/>
      <c r="L116" s="1405"/>
      <c r="M116" s="1405"/>
      <c r="N116" s="1406"/>
      <c r="O116" s="1406"/>
      <c r="P116" s="1405"/>
    </row>
    <row r="117" spans="2:16">
      <c r="B117" s="1405"/>
      <c r="C117" s="1405"/>
      <c r="D117" s="1405"/>
      <c r="E117" s="1405"/>
      <c r="F117" s="1405"/>
      <c r="G117" s="1405"/>
      <c r="H117" s="1405"/>
      <c r="I117" s="1405"/>
      <c r="J117" s="1405"/>
      <c r="K117" s="1405"/>
      <c r="L117" s="1405"/>
      <c r="M117" s="1405"/>
      <c r="N117" s="1406"/>
      <c r="O117" s="1406"/>
      <c r="P117" s="1405"/>
    </row>
    <row r="118" spans="2:16">
      <c r="B118" s="1405"/>
      <c r="C118" s="1405"/>
      <c r="D118" s="1405"/>
      <c r="E118" s="1405"/>
      <c r="F118" s="1405"/>
      <c r="G118" s="1405"/>
      <c r="H118" s="1405"/>
      <c r="I118" s="1405"/>
      <c r="J118" s="1405"/>
      <c r="K118" s="1405"/>
      <c r="L118" s="1405"/>
      <c r="M118" s="1405"/>
      <c r="N118" s="1406"/>
      <c r="O118" s="1406"/>
      <c r="P118" s="1405"/>
    </row>
    <row r="119" spans="2:16">
      <c r="B119" s="1405"/>
      <c r="C119" s="1405"/>
      <c r="D119" s="1405"/>
      <c r="E119" s="1405"/>
      <c r="F119" s="1405"/>
      <c r="G119" s="1405"/>
      <c r="H119" s="1405"/>
      <c r="I119" s="1405"/>
      <c r="J119" s="1405"/>
      <c r="K119" s="1405"/>
      <c r="L119" s="1405"/>
      <c r="M119" s="1405"/>
      <c r="N119" s="1406"/>
      <c r="O119" s="1406"/>
      <c r="P119" s="1405"/>
    </row>
    <row r="120" spans="2:16">
      <c r="B120" s="1405"/>
      <c r="C120" s="1405"/>
      <c r="D120" s="1405"/>
      <c r="E120" s="1405"/>
      <c r="F120" s="1405"/>
      <c r="G120" s="1405"/>
      <c r="H120" s="1405"/>
      <c r="I120" s="1405"/>
      <c r="J120" s="1405"/>
      <c r="K120" s="1405"/>
      <c r="L120" s="1405"/>
      <c r="M120" s="1405"/>
      <c r="N120" s="1406"/>
      <c r="O120" s="1406"/>
      <c r="P120" s="1405"/>
    </row>
    <row r="121" spans="2:16">
      <c r="B121" s="1405"/>
      <c r="C121" s="1405"/>
      <c r="D121" s="1405"/>
      <c r="E121" s="1405"/>
      <c r="F121" s="1405"/>
      <c r="G121" s="1405"/>
      <c r="H121" s="1405"/>
      <c r="I121" s="1405"/>
      <c r="J121" s="1405"/>
      <c r="K121" s="1405"/>
      <c r="L121" s="1405"/>
      <c r="M121" s="1405"/>
      <c r="N121" s="1406"/>
      <c r="O121" s="1406"/>
      <c r="P121" s="1405"/>
    </row>
    <row r="122" spans="2:16">
      <c r="B122" s="1405"/>
      <c r="C122" s="1405"/>
      <c r="D122" s="1405"/>
      <c r="E122" s="1405"/>
      <c r="F122" s="1405"/>
      <c r="G122" s="1405"/>
      <c r="H122" s="1405"/>
      <c r="I122" s="1405"/>
      <c r="J122" s="1405"/>
      <c r="K122" s="1405"/>
      <c r="L122" s="1405"/>
      <c r="M122" s="1405"/>
      <c r="N122" s="1406"/>
      <c r="O122" s="1406"/>
      <c r="P122" s="1405"/>
    </row>
    <row r="123" spans="2:16">
      <c r="B123" s="1405"/>
      <c r="C123" s="1405"/>
      <c r="D123" s="1405"/>
      <c r="E123" s="1405"/>
      <c r="F123" s="1405"/>
      <c r="G123" s="1405"/>
      <c r="H123" s="1405"/>
      <c r="I123" s="1405"/>
      <c r="J123" s="1405"/>
      <c r="K123" s="1405"/>
      <c r="L123" s="1405"/>
      <c r="M123" s="1405"/>
      <c r="N123" s="1406"/>
      <c r="O123" s="1406"/>
      <c r="P123" s="1405"/>
    </row>
    <row r="124" spans="2:16">
      <c r="B124" s="1405"/>
      <c r="C124" s="1405"/>
      <c r="D124" s="1405"/>
      <c r="E124" s="1405"/>
      <c r="F124" s="1405"/>
      <c r="G124" s="1405"/>
      <c r="H124" s="1405"/>
      <c r="I124" s="1405"/>
      <c r="J124" s="1405"/>
      <c r="K124" s="1405"/>
      <c r="L124" s="1405"/>
      <c r="M124" s="1405"/>
      <c r="N124" s="1406"/>
      <c r="O124" s="1406"/>
      <c r="P124" s="1405"/>
    </row>
    <row r="125" spans="2:16">
      <c r="B125" s="1405"/>
      <c r="C125" s="1405"/>
      <c r="D125" s="1405"/>
      <c r="E125" s="1405"/>
      <c r="F125" s="1405"/>
      <c r="G125" s="1405"/>
      <c r="H125" s="1405"/>
      <c r="I125" s="1405"/>
      <c r="J125" s="1405"/>
      <c r="K125" s="1405"/>
      <c r="L125" s="1405"/>
      <c r="M125" s="1405"/>
      <c r="N125" s="1406"/>
      <c r="O125" s="1406"/>
      <c r="P125" s="1405"/>
    </row>
    <row r="126" spans="2:16">
      <c r="B126" s="1405"/>
      <c r="C126" s="1405"/>
      <c r="D126" s="1405"/>
      <c r="E126" s="1405"/>
      <c r="F126" s="1405"/>
      <c r="G126" s="1405"/>
      <c r="H126" s="1405"/>
      <c r="I126" s="1405"/>
      <c r="J126" s="1405"/>
      <c r="K126" s="1405"/>
      <c r="L126" s="1405"/>
      <c r="M126" s="1405"/>
      <c r="N126" s="1406"/>
      <c r="O126" s="1406"/>
      <c r="P126" s="1405"/>
    </row>
    <row r="127" spans="2:16">
      <c r="B127" s="1405"/>
      <c r="C127" s="1405"/>
      <c r="D127" s="1405"/>
      <c r="E127" s="1405"/>
      <c r="F127" s="1405"/>
      <c r="G127" s="1405"/>
      <c r="H127" s="1405"/>
      <c r="I127" s="1405"/>
      <c r="J127" s="1405"/>
      <c r="K127" s="1405"/>
      <c r="L127" s="1405"/>
      <c r="M127" s="1405"/>
      <c r="N127" s="1406"/>
      <c r="O127" s="1406"/>
      <c r="P127" s="1405"/>
    </row>
    <row r="128" spans="2:16">
      <c r="B128" s="1405"/>
      <c r="C128" s="1405"/>
      <c r="D128" s="1405"/>
      <c r="E128" s="1405"/>
      <c r="F128" s="1405"/>
      <c r="G128" s="1405"/>
      <c r="H128" s="1405"/>
      <c r="I128" s="1405"/>
      <c r="J128" s="1405"/>
      <c r="K128" s="1405"/>
      <c r="L128" s="1405"/>
      <c r="M128" s="1405"/>
      <c r="N128" s="1406"/>
      <c r="O128" s="1406"/>
      <c r="P128" s="1405"/>
    </row>
    <row r="129" spans="2:16">
      <c r="B129" s="1405"/>
      <c r="C129" s="1405"/>
      <c r="D129" s="1405"/>
      <c r="E129" s="1405"/>
      <c r="F129" s="1405"/>
      <c r="G129" s="1405"/>
      <c r="H129" s="1405"/>
      <c r="I129" s="1405"/>
      <c r="J129" s="1405"/>
      <c r="K129" s="1405"/>
      <c r="L129" s="1405"/>
      <c r="M129" s="1405"/>
      <c r="N129" s="1406"/>
      <c r="O129" s="1406"/>
      <c r="P129" s="1405"/>
    </row>
    <row r="130" spans="2:16">
      <c r="B130" s="1405"/>
      <c r="C130" s="1405"/>
      <c r="D130" s="1405"/>
      <c r="E130" s="1405"/>
      <c r="F130" s="1405"/>
      <c r="G130" s="1405"/>
      <c r="H130" s="1405"/>
      <c r="I130" s="1405"/>
      <c r="J130" s="1405"/>
      <c r="K130" s="1405"/>
      <c r="L130" s="1405"/>
      <c r="M130" s="1405"/>
      <c r="N130" s="1406"/>
      <c r="O130" s="1406"/>
      <c r="P130" s="1405"/>
    </row>
    <row r="131" spans="2:16">
      <c r="B131" s="1405"/>
      <c r="C131" s="1405"/>
      <c r="D131" s="1405"/>
      <c r="E131" s="1405"/>
      <c r="F131" s="1405"/>
      <c r="G131" s="1405"/>
      <c r="H131" s="1405"/>
      <c r="I131" s="1405"/>
      <c r="J131" s="1405"/>
      <c r="K131" s="1405"/>
      <c r="L131" s="1405"/>
      <c r="M131" s="1405"/>
      <c r="N131" s="1406"/>
      <c r="O131" s="1406"/>
      <c r="P131" s="1405"/>
    </row>
    <row r="132" spans="2:16">
      <c r="B132" s="1405"/>
      <c r="C132" s="1405"/>
      <c r="D132" s="1405"/>
      <c r="E132" s="1405"/>
      <c r="F132" s="1405"/>
      <c r="G132" s="1405"/>
      <c r="H132" s="1405"/>
      <c r="I132" s="1405"/>
      <c r="J132" s="1405"/>
      <c r="K132" s="1405"/>
      <c r="L132" s="1405"/>
      <c r="M132" s="1405"/>
      <c r="N132" s="1406"/>
      <c r="O132" s="1406"/>
      <c r="P132" s="1405"/>
    </row>
    <row r="133" spans="2:16">
      <c r="B133" s="1405"/>
      <c r="C133" s="1405"/>
      <c r="D133" s="1405"/>
      <c r="E133" s="1405"/>
      <c r="F133" s="1405"/>
      <c r="G133" s="1405"/>
      <c r="H133" s="1405"/>
      <c r="I133" s="1405"/>
      <c r="J133" s="1405"/>
      <c r="K133" s="1405"/>
      <c r="L133" s="1405"/>
      <c r="M133" s="1405"/>
      <c r="N133" s="1406"/>
      <c r="O133" s="1406"/>
      <c r="P133" s="1405"/>
    </row>
    <row r="134" spans="2:16">
      <c r="B134" s="1405"/>
      <c r="C134" s="1405"/>
      <c r="D134" s="1405"/>
      <c r="E134" s="1405"/>
      <c r="F134" s="1405"/>
      <c r="G134" s="1405"/>
      <c r="H134" s="1405"/>
      <c r="I134" s="1405"/>
      <c r="J134" s="1405"/>
      <c r="K134" s="1405"/>
      <c r="L134" s="1405"/>
      <c r="M134" s="1405"/>
      <c r="N134" s="1406"/>
      <c r="O134" s="1406"/>
      <c r="P134" s="1405"/>
    </row>
    <row r="135" spans="2:16">
      <c r="B135" s="1405"/>
      <c r="C135" s="1405"/>
      <c r="D135" s="1405"/>
      <c r="E135" s="1405"/>
      <c r="F135" s="1405"/>
      <c r="G135" s="1405"/>
      <c r="H135" s="1405"/>
      <c r="I135" s="1405"/>
      <c r="J135" s="1405"/>
      <c r="K135" s="1405"/>
      <c r="L135" s="1405"/>
      <c r="M135" s="1405"/>
      <c r="N135" s="1406"/>
      <c r="O135" s="1406"/>
      <c r="P135" s="1405"/>
    </row>
    <row r="136" spans="2:16">
      <c r="B136" s="1405"/>
      <c r="C136" s="1405"/>
      <c r="D136" s="1405"/>
      <c r="E136" s="1405"/>
      <c r="F136" s="1405"/>
      <c r="G136" s="1405"/>
      <c r="H136" s="1405"/>
      <c r="I136" s="1405"/>
      <c r="J136" s="1405"/>
      <c r="K136" s="1405"/>
      <c r="L136" s="1405"/>
      <c r="M136" s="1405"/>
      <c r="N136" s="1406"/>
      <c r="O136" s="1406"/>
      <c r="P136" s="1405"/>
    </row>
    <row r="137" spans="2:16">
      <c r="B137" s="1405"/>
      <c r="C137" s="1405"/>
      <c r="D137" s="1405"/>
      <c r="E137" s="1405"/>
      <c r="F137" s="1405"/>
      <c r="G137" s="1405"/>
      <c r="H137" s="1405"/>
      <c r="I137" s="1405"/>
      <c r="J137" s="1405"/>
      <c r="K137" s="1405"/>
      <c r="L137" s="1405"/>
      <c r="M137" s="1405"/>
      <c r="N137" s="1406"/>
      <c r="O137" s="1406"/>
      <c r="P137" s="1405"/>
    </row>
    <row r="138" spans="2:16">
      <c r="B138" s="1405"/>
      <c r="C138" s="1405"/>
      <c r="D138" s="1405"/>
      <c r="E138" s="1405"/>
      <c r="F138" s="1405"/>
      <c r="G138" s="1405"/>
      <c r="H138" s="1405"/>
      <c r="I138" s="1405"/>
      <c r="J138" s="1405"/>
      <c r="K138" s="1405"/>
      <c r="L138" s="1405"/>
      <c r="M138" s="1405"/>
      <c r="N138" s="1406"/>
      <c r="O138" s="1406"/>
      <c r="P138" s="1405"/>
    </row>
    <row r="139" spans="2:16">
      <c r="B139" s="1405"/>
      <c r="C139" s="1405"/>
      <c r="D139" s="1405"/>
      <c r="E139" s="1405"/>
      <c r="F139" s="1405"/>
      <c r="G139" s="1405"/>
      <c r="H139" s="1405"/>
      <c r="I139" s="1405"/>
      <c r="J139" s="1405"/>
      <c r="K139" s="1405"/>
      <c r="L139" s="1405"/>
      <c r="M139" s="1405"/>
      <c r="N139" s="1406"/>
      <c r="O139" s="1406"/>
      <c r="P139" s="1405"/>
    </row>
    <row r="140" spans="2:16">
      <c r="B140" s="1405"/>
      <c r="C140" s="1405"/>
      <c r="D140" s="1405"/>
      <c r="E140" s="1405"/>
      <c r="F140" s="1405"/>
      <c r="G140" s="1405"/>
      <c r="H140" s="1405"/>
      <c r="I140" s="1405"/>
      <c r="J140" s="1405"/>
      <c r="K140" s="1405"/>
      <c r="L140" s="1405"/>
      <c r="M140" s="1405"/>
      <c r="N140" s="1406"/>
      <c r="O140" s="1406"/>
      <c r="P140" s="1405"/>
    </row>
    <row r="141" spans="2:16">
      <c r="B141" s="1405"/>
      <c r="C141" s="1405"/>
      <c r="D141" s="1405"/>
      <c r="E141" s="1405"/>
      <c r="F141" s="1405"/>
      <c r="G141" s="1405"/>
      <c r="H141" s="1405"/>
      <c r="I141" s="1405"/>
      <c r="J141" s="1405"/>
      <c r="K141" s="1405"/>
      <c r="L141" s="1405"/>
      <c r="M141" s="1405"/>
      <c r="N141" s="1406"/>
      <c r="O141" s="1406"/>
      <c r="P141" s="1405"/>
    </row>
    <row r="142" spans="2:16">
      <c r="B142" s="1405"/>
      <c r="C142" s="1405"/>
      <c r="D142" s="1405"/>
      <c r="E142" s="1405"/>
      <c r="F142" s="1405"/>
      <c r="G142" s="1405"/>
      <c r="H142" s="1405"/>
      <c r="I142" s="1405"/>
      <c r="J142" s="1405"/>
      <c r="K142" s="1405"/>
      <c r="L142" s="1405"/>
      <c r="M142" s="1405"/>
      <c r="N142" s="1406"/>
      <c r="O142" s="1406"/>
      <c r="P142" s="1405"/>
    </row>
    <row r="143" spans="2:16">
      <c r="B143" s="1405"/>
      <c r="C143" s="1405"/>
      <c r="D143" s="1405"/>
      <c r="E143" s="1405"/>
      <c r="F143" s="1405"/>
      <c r="G143" s="1405"/>
      <c r="H143" s="1405"/>
      <c r="I143" s="1405"/>
      <c r="J143" s="1405"/>
      <c r="K143" s="1405"/>
      <c r="L143" s="1405"/>
      <c r="M143" s="1405"/>
      <c r="N143" s="1406"/>
      <c r="O143" s="1406"/>
      <c r="P143" s="1405"/>
    </row>
    <row r="144" spans="2:16">
      <c r="B144" s="1405"/>
      <c r="C144" s="1405"/>
      <c r="D144" s="1405"/>
      <c r="E144" s="1405"/>
      <c r="F144" s="1405"/>
      <c r="G144" s="1405"/>
      <c r="H144" s="1405"/>
      <c r="I144" s="1405"/>
      <c r="J144" s="1405"/>
      <c r="K144" s="1405"/>
      <c r="L144" s="1405"/>
      <c r="M144" s="1405"/>
      <c r="N144" s="1406"/>
      <c r="O144" s="1406"/>
      <c r="P144" s="1405"/>
    </row>
    <row r="145" spans="2:16">
      <c r="B145" s="1405"/>
      <c r="C145" s="1405"/>
      <c r="D145" s="1405"/>
      <c r="E145" s="1405"/>
      <c r="F145" s="1405"/>
      <c r="G145" s="1405"/>
      <c r="H145" s="1405"/>
      <c r="I145" s="1405"/>
      <c r="J145" s="1405"/>
      <c r="K145" s="1405"/>
      <c r="L145" s="1405"/>
      <c r="M145" s="1405"/>
      <c r="N145" s="1406"/>
      <c r="O145" s="1406"/>
      <c r="P145" s="1405"/>
    </row>
    <row r="146" spans="2:16">
      <c r="B146" s="1405"/>
      <c r="C146" s="1405"/>
      <c r="D146" s="1405"/>
      <c r="E146" s="1405"/>
      <c r="F146" s="1405"/>
      <c r="G146" s="1405"/>
      <c r="H146" s="1405"/>
      <c r="I146" s="1405"/>
      <c r="J146" s="1405"/>
      <c r="K146" s="1405"/>
      <c r="L146" s="1405"/>
      <c r="M146" s="1405"/>
      <c r="N146" s="1406"/>
      <c r="O146" s="1406"/>
      <c r="P146" s="1405"/>
    </row>
    <row r="147" spans="2:16">
      <c r="B147" s="1405"/>
      <c r="C147" s="1405"/>
      <c r="D147" s="1405"/>
      <c r="E147" s="1405"/>
      <c r="F147" s="1405"/>
      <c r="G147" s="1405"/>
      <c r="H147" s="1405"/>
      <c r="I147" s="1405"/>
      <c r="J147" s="1405"/>
      <c r="K147" s="1405"/>
      <c r="L147" s="1405"/>
      <c r="M147" s="1405"/>
      <c r="N147" s="1406"/>
      <c r="O147" s="1406"/>
      <c r="P147" s="1405"/>
    </row>
    <row r="148" spans="2:16">
      <c r="B148" s="1405"/>
      <c r="C148" s="1405"/>
      <c r="D148" s="1405"/>
      <c r="E148" s="1405"/>
      <c r="F148" s="1405"/>
      <c r="G148" s="1405"/>
      <c r="H148" s="1405"/>
      <c r="I148" s="1405"/>
      <c r="J148" s="1405"/>
      <c r="K148" s="1405"/>
      <c r="L148" s="1405"/>
      <c r="M148" s="1405"/>
      <c r="N148" s="1406"/>
      <c r="O148" s="1406"/>
      <c r="P148" s="1405"/>
    </row>
    <row r="149" spans="2:16">
      <c r="B149" s="1405"/>
      <c r="C149" s="1405"/>
      <c r="D149" s="1405"/>
      <c r="E149" s="1405"/>
      <c r="F149" s="1405"/>
      <c r="G149" s="1405"/>
      <c r="H149" s="1405"/>
      <c r="I149" s="1405"/>
      <c r="J149" s="1405"/>
      <c r="K149" s="1405"/>
      <c r="L149" s="1405"/>
      <c r="M149" s="1405"/>
      <c r="N149" s="1406"/>
      <c r="O149" s="1406"/>
      <c r="P149" s="1405"/>
    </row>
    <row r="150" spans="2:16">
      <c r="B150" s="1405"/>
      <c r="C150" s="1405"/>
      <c r="D150" s="1405"/>
      <c r="E150" s="1405"/>
      <c r="F150" s="1405"/>
      <c r="G150" s="1405"/>
      <c r="H150" s="1405"/>
      <c r="I150" s="1405"/>
      <c r="J150" s="1405"/>
      <c r="K150" s="1405"/>
      <c r="L150" s="1405"/>
      <c r="M150" s="1405"/>
      <c r="N150" s="1406"/>
      <c r="O150" s="1406"/>
      <c r="P150" s="1405"/>
    </row>
    <row r="151" spans="2:16">
      <c r="B151" s="1405"/>
      <c r="C151" s="1405"/>
      <c r="D151" s="1405"/>
      <c r="E151" s="1405"/>
      <c r="F151" s="1405"/>
      <c r="G151" s="1405"/>
      <c r="H151" s="1405"/>
      <c r="I151" s="1405"/>
      <c r="J151" s="1405"/>
      <c r="K151" s="1405"/>
      <c r="L151" s="1405"/>
      <c r="M151" s="1405"/>
      <c r="N151" s="1406"/>
      <c r="O151" s="1406"/>
      <c r="P151" s="1405"/>
    </row>
    <row r="152" spans="2:16">
      <c r="B152" s="1405"/>
      <c r="C152" s="1405"/>
      <c r="D152" s="1405"/>
      <c r="E152" s="1405"/>
      <c r="F152" s="1405"/>
      <c r="G152" s="1405"/>
      <c r="H152" s="1405"/>
      <c r="I152" s="1405"/>
      <c r="J152" s="1405"/>
      <c r="K152" s="1405"/>
      <c r="L152" s="1405"/>
      <c r="M152" s="1405"/>
      <c r="N152" s="1406"/>
      <c r="O152" s="1406"/>
      <c r="P152" s="1405"/>
    </row>
    <row r="153" spans="2:16">
      <c r="B153" s="1405"/>
      <c r="C153" s="1405"/>
      <c r="D153" s="1405"/>
      <c r="E153" s="1405"/>
      <c r="F153" s="1405"/>
      <c r="G153" s="1405"/>
      <c r="H153" s="1405"/>
      <c r="I153" s="1405"/>
      <c r="J153" s="1405"/>
      <c r="K153" s="1405"/>
      <c r="L153" s="1405"/>
      <c r="M153" s="1405"/>
      <c r="N153" s="1406"/>
      <c r="O153" s="1406"/>
      <c r="P153" s="1405"/>
    </row>
    <row r="154" spans="2:16">
      <c r="B154" s="1405"/>
      <c r="C154" s="1405"/>
      <c r="D154" s="1405"/>
      <c r="E154" s="1405"/>
      <c r="F154" s="1405"/>
      <c r="G154" s="1405"/>
      <c r="H154" s="1405"/>
      <c r="I154" s="1405"/>
      <c r="J154" s="1405"/>
      <c r="K154" s="1405"/>
      <c r="L154" s="1405"/>
      <c r="M154" s="1405"/>
      <c r="N154" s="1406"/>
      <c r="O154" s="1406"/>
      <c r="P154" s="1405"/>
    </row>
    <row r="155" spans="2:16">
      <c r="B155" s="1405"/>
      <c r="C155" s="1405"/>
      <c r="D155" s="1405"/>
      <c r="E155" s="1405"/>
      <c r="F155" s="1405"/>
      <c r="G155" s="1405"/>
      <c r="H155" s="1405"/>
      <c r="I155" s="1405"/>
      <c r="J155" s="1405"/>
      <c r="K155" s="1405"/>
      <c r="L155" s="1405"/>
      <c r="M155" s="1405"/>
      <c r="N155" s="1406"/>
      <c r="O155" s="1406"/>
      <c r="P155" s="1405"/>
    </row>
    <row r="156" spans="2:16">
      <c r="B156" s="1405"/>
      <c r="C156" s="1405"/>
      <c r="D156" s="1405"/>
      <c r="E156" s="1405"/>
      <c r="F156" s="1405"/>
      <c r="G156" s="1405"/>
      <c r="H156" s="1405"/>
      <c r="I156" s="1405"/>
      <c r="J156" s="1405"/>
      <c r="K156" s="1405"/>
      <c r="L156" s="1405"/>
      <c r="M156" s="1405"/>
      <c r="N156" s="1406"/>
      <c r="O156" s="1406"/>
      <c r="P156" s="1405"/>
    </row>
    <row r="157" spans="2:16">
      <c r="B157" s="1405"/>
      <c r="C157" s="1405"/>
      <c r="D157" s="1405"/>
      <c r="E157" s="1405"/>
      <c r="F157" s="1405"/>
      <c r="G157" s="1405"/>
      <c r="H157" s="1405"/>
      <c r="I157" s="1405"/>
      <c r="J157" s="1405"/>
      <c r="K157" s="1405"/>
      <c r="L157" s="1405"/>
      <c r="M157" s="1405"/>
      <c r="N157" s="1406"/>
      <c r="O157" s="1406"/>
      <c r="P157" s="1405"/>
    </row>
    <row r="158" spans="2:16">
      <c r="B158" s="1405"/>
      <c r="C158" s="1405"/>
      <c r="D158" s="1405"/>
      <c r="E158" s="1405"/>
      <c r="F158" s="1405"/>
      <c r="G158" s="1405"/>
      <c r="H158" s="1405"/>
      <c r="I158" s="1405"/>
      <c r="J158" s="1405"/>
      <c r="K158" s="1405"/>
      <c r="L158" s="1405"/>
      <c r="M158" s="1405"/>
      <c r="N158" s="1406"/>
      <c r="O158" s="1406"/>
      <c r="P158" s="1405"/>
    </row>
    <row r="159" spans="2:16">
      <c r="B159" s="1405"/>
      <c r="C159" s="1405"/>
      <c r="D159" s="1405"/>
      <c r="E159" s="1405"/>
      <c r="F159" s="1405"/>
      <c r="G159" s="1405"/>
      <c r="H159" s="1405"/>
      <c r="I159" s="1405"/>
      <c r="J159" s="1405"/>
      <c r="K159" s="1405"/>
      <c r="L159" s="1405"/>
      <c r="M159" s="1405"/>
      <c r="N159" s="1406"/>
      <c r="O159" s="1406"/>
      <c r="P159" s="1405"/>
    </row>
    <row r="160" spans="2:16">
      <c r="B160" s="1405"/>
      <c r="C160" s="1405"/>
      <c r="D160" s="1405"/>
      <c r="E160" s="1405"/>
      <c r="F160" s="1405"/>
      <c r="G160" s="1405"/>
      <c r="H160" s="1405"/>
      <c r="I160" s="1405"/>
      <c r="J160" s="1405"/>
      <c r="K160" s="1405"/>
      <c r="L160" s="1405"/>
      <c r="M160" s="1405"/>
      <c r="N160" s="1406"/>
      <c r="O160" s="1406"/>
      <c r="P160" s="1405"/>
    </row>
    <row r="161" spans="2:16">
      <c r="B161" s="1405"/>
      <c r="C161" s="1405"/>
      <c r="D161" s="1405"/>
      <c r="E161" s="1405"/>
      <c r="F161" s="1405"/>
      <c r="G161" s="1405"/>
      <c r="H161" s="1405"/>
      <c r="I161" s="1405"/>
      <c r="J161" s="1405"/>
      <c r="K161" s="1405"/>
      <c r="L161" s="1405"/>
      <c r="M161" s="1405"/>
      <c r="N161" s="1406"/>
      <c r="O161" s="1406"/>
      <c r="P161" s="1405"/>
    </row>
    <row r="162" spans="2:16">
      <c r="B162" s="1405"/>
      <c r="C162" s="1405"/>
      <c r="D162" s="1405"/>
      <c r="E162" s="1405"/>
      <c r="F162" s="1405"/>
      <c r="G162" s="1405"/>
      <c r="H162" s="1405"/>
      <c r="I162" s="1405"/>
      <c r="J162" s="1405"/>
      <c r="K162" s="1405"/>
      <c r="L162" s="1405"/>
      <c r="M162" s="1405"/>
      <c r="N162" s="1406"/>
      <c r="O162" s="1406"/>
      <c r="P162" s="1405"/>
    </row>
    <row r="163" spans="2:16">
      <c r="B163" s="1405"/>
      <c r="C163" s="1405"/>
      <c r="D163" s="1405"/>
      <c r="E163" s="1405"/>
      <c r="F163" s="1405"/>
      <c r="G163" s="1405"/>
      <c r="H163" s="1405"/>
      <c r="I163" s="1405"/>
      <c r="J163" s="1405"/>
      <c r="K163" s="1405"/>
      <c r="L163" s="1405"/>
      <c r="M163" s="1405"/>
      <c r="N163" s="1406"/>
      <c r="O163" s="1406"/>
      <c r="P163" s="1405"/>
    </row>
    <row r="164" spans="2:16">
      <c r="B164" s="1405"/>
      <c r="C164" s="1405"/>
      <c r="D164" s="1405"/>
      <c r="E164" s="1405"/>
      <c r="F164" s="1405"/>
      <c r="G164" s="1405"/>
      <c r="H164" s="1405"/>
      <c r="I164" s="1405"/>
      <c r="J164" s="1405"/>
      <c r="K164" s="1405"/>
      <c r="L164" s="1405"/>
      <c r="M164" s="1405"/>
      <c r="N164" s="1406"/>
      <c r="O164" s="1406"/>
      <c r="P164" s="1405"/>
    </row>
    <row r="165" spans="2:16">
      <c r="B165" s="1405"/>
      <c r="C165" s="1405"/>
      <c r="D165" s="1405"/>
      <c r="E165" s="1405"/>
      <c r="F165" s="1405"/>
      <c r="G165" s="1405"/>
      <c r="H165" s="1405"/>
      <c r="I165" s="1405"/>
      <c r="J165" s="1405"/>
      <c r="K165" s="1405"/>
      <c r="L165" s="1405"/>
      <c r="M165" s="1405"/>
      <c r="N165" s="1406"/>
      <c r="O165" s="1406"/>
      <c r="P165" s="1405"/>
    </row>
    <row r="166" spans="2:16">
      <c r="B166" s="1405"/>
      <c r="C166" s="1405"/>
      <c r="D166" s="1405"/>
      <c r="E166" s="1405"/>
      <c r="F166" s="1405"/>
      <c r="G166" s="1405"/>
      <c r="H166" s="1405"/>
      <c r="I166" s="1405"/>
      <c r="J166" s="1405"/>
      <c r="K166" s="1405"/>
      <c r="L166" s="1405"/>
      <c r="M166" s="1405"/>
      <c r="N166" s="1406"/>
      <c r="O166" s="1406"/>
      <c r="P166" s="1405"/>
    </row>
    <row r="167" spans="2:16">
      <c r="B167" s="1405"/>
      <c r="C167" s="1405"/>
      <c r="D167" s="1405"/>
      <c r="E167" s="1405"/>
      <c r="F167" s="1405"/>
      <c r="G167" s="1405"/>
      <c r="H167" s="1405"/>
      <c r="I167" s="1405"/>
      <c r="J167" s="1405"/>
      <c r="K167" s="1405"/>
      <c r="L167" s="1405"/>
      <c r="M167" s="1405"/>
      <c r="N167" s="1406"/>
      <c r="O167" s="1406"/>
      <c r="P167" s="1405"/>
    </row>
    <row r="168" spans="2:16">
      <c r="B168" s="1405"/>
      <c r="C168" s="1405"/>
      <c r="D168" s="1405"/>
      <c r="E168" s="1405"/>
      <c r="F168" s="1405"/>
      <c r="G168" s="1405"/>
      <c r="H168" s="1405"/>
      <c r="I168" s="1405"/>
      <c r="J168" s="1405"/>
      <c r="K168" s="1405"/>
      <c r="L168" s="1405"/>
      <c r="M168" s="1405"/>
      <c r="N168" s="1406"/>
      <c r="O168" s="1406"/>
      <c r="P168" s="1405"/>
    </row>
    <row r="169" spans="2:16">
      <c r="B169" s="1405"/>
      <c r="C169" s="1405"/>
      <c r="D169" s="1405"/>
      <c r="E169" s="1405"/>
      <c r="F169" s="1405"/>
      <c r="G169" s="1405"/>
      <c r="H169" s="1405"/>
      <c r="I169" s="1405"/>
      <c r="J169" s="1405"/>
      <c r="K169" s="1405"/>
      <c r="L169" s="1405"/>
      <c r="M169" s="1405"/>
      <c r="N169" s="1406"/>
      <c r="O169" s="1406"/>
      <c r="P169" s="1405"/>
    </row>
    <row r="170" spans="2:16">
      <c r="B170" s="1405"/>
      <c r="C170" s="1405"/>
      <c r="D170" s="1405"/>
      <c r="E170" s="1405"/>
      <c r="F170" s="1405"/>
      <c r="G170" s="1405"/>
      <c r="H170" s="1405"/>
      <c r="I170" s="1405"/>
      <c r="J170" s="1405"/>
      <c r="K170" s="1405"/>
      <c r="L170" s="1405"/>
      <c r="M170" s="1405"/>
      <c r="N170" s="1406"/>
      <c r="O170" s="1406"/>
      <c r="P170" s="1405"/>
    </row>
    <row r="171" spans="2:16">
      <c r="B171" s="1405"/>
      <c r="C171" s="1405"/>
      <c r="D171" s="1405"/>
      <c r="E171" s="1405"/>
      <c r="F171" s="1405"/>
      <c r="G171" s="1405"/>
      <c r="H171" s="1405"/>
      <c r="I171" s="1405"/>
      <c r="J171" s="1405"/>
      <c r="K171" s="1405"/>
      <c r="L171" s="1405"/>
      <c r="M171" s="1405"/>
      <c r="N171" s="1406"/>
      <c r="O171" s="1406"/>
      <c r="P171" s="1405"/>
    </row>
    <row r="172" spans="2:16">
      <c r="B172" s="1405"/>
      <c r="C172" s="1405"/>
      <c r="D172" s="1405"/>
      <c r="E172" s="1405"/>
      <c r="F172" s="1405"/>
      <c r="G172" s="1405"/>
      <c r="H172" s="1405"/>
      <c r="I172" s="1405"/>
      <c r="J172" s="1405"/>
      <c r="K172" s="1405"/>
      <c r="L172" s="1405"/>
      <c r="M172" s="1405"/>
      <c r="N172" s="1406"/>
      <c r="O172" s="1406"/>
      <c r="P172" s="1405"/>
    </row>
    <row r="173" spans="2:16">
      <c r="B173" s="1405"/>
      <c r="C173" s="1405"/>
      <c r="D173" s="1405"/>
      <c r="E173" s="1405"/>
      <c r="F173" s="1405"/>
      <c r="G173" s="1405"/>
      <c r="H173" s="1405"/>
      <c r="I173" s="1405"/>
      <c r="J173" s="1405"/>
      <c r="K173" s="1405"/>
      <c r="L173" s="1405"/>
      <c r="M173" s="1405"/>
      <c r="N173" s="1406"/>
      <c r="O173" s="1406"/>
      <c r="P173" s="1405"/>
    </row>
    <row r="174" spans="2:16">
      <c r="B174" s="1405"/>
      <c r="C174" s="1405"/>
      <c r="D174" s="1405"/>
      <c r="E174" s="1405"/>
      <c r="F174" s="1405"/>
      <c r="G174" s="1405"/>
      <c r="H174" s="1405"/>
      <c r="I174" s="1405"/>
      <c r="J174" s="1405"/>
      <c r="K174" s="1405"/>
      <c r="L174" s="1405"/>
      <c r="M174" s="1405"/>
      <c r="N174" s="1406"/>
      <c r="O174" s="1406"/>
      <c r="P174" s="1405"/>
    </row>
    <row r="175" spans="2:16">
      <c r="B175" s="1405"/>
      <c r="C175" s="1405"/>
      <c r="D175" s="1405"/>
      <c r="E175" s="1405"/>
      <c r="F175" s="1405"/>
      <c r="G175" s="1405"/>
      <c r="H175" s="1405"/>
      <c r="I175" s="1405"/>
      <c r="J175" s="1405"/>
      <c r="K175" s="1405"/>
      <c r="L175" s="1405"/>
      <c r="M175" s="1405"/>
      <c r="N175" s="1406"/>
      <c r="O175" s="1406"/>
      <c r="P175" s="1405"/>
    </row>
    <row r="176" spans="2:16">
      <c r="B176" s="1405"/>
      <c r="C176" s="1405"/>
      <c r="D176" s="1405"/>
      <c r="E176" s="1405"/>
      <c r="F176" s="1405"/>
      <c r="G176" s="1405"/>
      <c r="H176" s="1405"/>
      <c r="I176" s="1405"/>
      <c r="J176" s="1405"/>
      <c r="K176" s="1405"/>
      <c r="L176" s="1405"/>
      <c r="M176" s="1405"/>
      <c r="N176" s="1406"/>
      <c r="O176" s="1406"/>
      <c r="P176" s="1405"/>
    </row>
    <row r="177" spans="2:16">
      <c r="B177" s="1405"/>
      <c r="C177" s="1405"/>
      <c r="D177" s="1405"/>
      <c r="E177" s="1405"/>
      <c r="F177" s="1405"/>
      <c r="G177" s="1405"/>
      <c r="H177" s="1405"/>
      <c r="I177" s="1405"/>
      <c r="J177" s="1405"/>
      <c r="K177" s="1405"/>
      <c r="L177" s="1405"/>
      <c r="M177" s="1405"/>
      <c r="N177" s="1406"/>
      <c r="O177" s="1406"/>
      <c r="P177" s="1405"/>
    </row>
    <row r="178" spans="2:16">
      <c r="B178" s="1405"/>
      <c r="C178" s="1405"/>
      <c r="D178" s="1405"/>
      <c r="E178" s="1405"/>
      <c r="F178" s="1405"/>
      <c r="G178" s="1405"/>
      <c r="H178" s="1405"/>
      <c r="I178" s="1405"/>
      <c r="J178" s="1405"/>
      <c r="K178" s="1405"/>
      <c r="L178" s="1405"/>
      <c r="M178" s="1405"/>
      <c r="N178" s="1406"/>
      <c r="O178" s="1406"/>
      <c r="P178" s="1405"/>
    </row>
    <row r="179" spans="2:16">
      <c r="B179" s="1405"/>
      <c r="C179" s="1405"/>
      <c r="D179" s="1405"/>
      <c r="E179" s="1405"/>
      <c r="F179" s="1405"/>
      <c r="G179" s="1405"/>
      <c r="H179" s="1405"/>
      <c r="I179" s="1405"/>
      <c r="J179" s="1405"/>
      <c r="K179" s="1405"/>
      <c r="L179" s="1405"/>
      <c r="M179" s="1405"/>
      <c r="N179" s="1406"/>
      <c r="O179" s="1406"/>
      <c r="P179" s="1405"/>
    </row>
    <row r="180" spans="2:16">
      <c r="B180" s="1405"/>
      <c r="C180" s="1405"/>
      <c r="D180" s="1405"/>
      <c r="E180" s="1405"/>
      <c r="F180" s="1405"/>
      <c r="G180" s="1405"/>
      <c r="H180" s="1405"/>
      <c r="I180" s="1405"/>
      <c r="J180" s="1405"/>
      <c r="K180" s="1405"/>
      <c r="L180" s="1405"/>
      <c r="M180" s="1405"/>
      <c r="N180" s="1406"/>
      <c r="O180" s="1406"/>
      <c r="P180" s="1405"/>
    </row>
    <row r="181" spans="2:16">
      <c r="B181" s="1405"/>
      <c r="C181" s="1405"/>
      <c r="D181" s="1405"/>
      <c r="E181" s="1405"/>
      <c r="F181" s="1405"/>
      <c r="G181" s="1405"/>
      <c r="H181" s="1405"/>
      <c r="I181" s="1405"/>
      <c r="J181" s="1405"/>
      <c r="K181" s="1405"/>
      <c r="L181" s="1405"/>
      <c r="M181" s="1405"/>
      <c r="N181" s="1406"/>
      <c r="O181" s="1406"/>
      <c r="P181" s="1405"/>
    </row>
    <row r="182" spans="2:16">
      <c r="B182" s="1405"/>
      <c r="C182" s="1405"/>
      <c r="D182" s="1405"/>
      <c r="E182" s="1405"/>
      <c r="F182" s="1405"/>
      <c r="G182" s="1405"/>
      <c r="H182" s="1405"/>
      <c r="I182" s="1405"/>
      <c r="J182" s="1405"/>
      <c r="K182" s="1405"/>
      <c r="L182" s="1405"/>
      <c r="M182" s="1405"/>
      <c r="N182" s="1406"/>
      <c r="O182" s="1406"/>
      <c r="P182" s="1405"/>
    </row>
    <row r="183" spans="2:16">
      <c r="B183" s="1405"/>
      <c r="C183" s="1405"/>
      <c r="D183" s="1405"/>
      <c r="E183" s="1405"/>
      <c r="F183" s="1405"/>
      <c r="G183" s="1405"/>
      <c r="H183" s="1405"/>
      <c r="I183" s="1405"/>
      <c r="J183" s="1405"/>
      <c r="K183" s="1405"/>
      <c r="L183" s="1405"/>
      <c r="M183" s="1405"/>
      <c r="N183" s="1406"/>
      <c r="O183" s="1406"/>
      <c r="P183" s="1405"/>
    </row>
    <row r="184" spans="2:16">
      <c r="B184" s="1405"/>
      <c r="C184" s="1405"/>
      <c r="D184" s="1405"/>
      <c r="E184" s="1405"/>
      <c r="F184" s="1405"/>
      <c r="G184" s="1405"/>
      <c r="H184" s="1405"/>
      <c r="I184" s="1405"/>
      <c r="J184" s="1405"/>
      <c r="K184" s="1405"/>
      <c r="L184" s="1405"/>
      <c r="M184" s="1405"/>
      <c r="N184" s="1406"/>
      <c r="O184" s="1406"/>
      <c r="P184" s="1405"/>
    </row>
    <row r="185" spans="2:16">
      <c r="B185" s="1405"/>
      <c r="C185" s="1405"/>
      <c r="D185" s="1405"/>
      <c r="E185" s="1405"/>
      <c r="F185" s="1405"/>
      <c r="G185" s="1405"/>
      <c r="H185" s="1405"/>
      <c r="I185" s="1405"/>
      <c r="J185" s="1405"/>
      <c r="K185" s="1405"/>
      <c r="L185" s="1405"/>
      <c r="M185" s="1405"/>
      <c r="N185" s="1406"/>
      <c r="O185" s="1406"/>
      <c r="P185" s="1405"/>
    </row>
    <row r="186" spans="2:16">
      <c r="B186" s="1405"/>
      <c r="C186" s="1405"/>
      <c r="D186" s="1405"/>
      <c r="E186" s="1405"/>
      <c r="F186" s="1405"/>
      <c r="G186" s="1405"/>
      <c r="H186" s="1405"/>
      <c r="I186" s="1405"/>
      <c r="J186" s="1405"/>
      <c r="K186" s="1405"/>
      <c r="L186" s="1405"/>
      <c r="M186" s="1405"/>
      <c r="N186" s="1406"/>
      <c r="O186" s="1406"/>
      <c r="P186" s="1405"/>
    </row>
    <row r="187" spans="2:16">
      <c r="B187" s="1405"/>
      <c r="C187" s="1405"/>
      <c r="D187" s="1405"/>
      <c r="E187" s="1405"/>
      <c r="F187" s="1405"/>
      <c r="G187" s="1405"/>
      <c r="H187" s="1405"/>
      <c r="I187" s="1405"/>
      <c r="J187" s="1405"/>
      <c r="K187" s="1405"/>
      <c r="L187" s="1405"/>
      <c r="M187" s="1405"/>
      <c r="N187" s="1406"/>
      <c r="O187" s="1406"/>
      <c r="P187" s="1405"/>
    </row>
    <row r="188" spans="2:16">
      <c r="B188" s="1405"/>
      <c r="C188" s="1405"/>
      <c r="D188" s="1405"/>
      <c r="E188" s="1405"/>
      <c r="F188" s="1405"/>
      <c r="G188" s="1405"/>
      <c r="H188" s="1405"/>
      <c r="I188" s="1405"/>
      <c r="J188" s="1405"/>
      <c r="K188" s="1405"/>
      <c r="L188" s="1405"/>
      <c r="M188" s="1405"/>
      <c r="N188" s="1406"/>
      <c r="O188" s="1406"/>
      <c r="P188" s="1405"/>
    </row>
    <row r="189" spans="2:16">
      <c r="B189" s="1405"/>
      <c r="C189" s="1405"/>
      <c r="D189" s="1405"/>
      <c r="E189" s="1405"/>
      <c r="F189" s="1405"/>
      <c r="G189" s="1405"/>
      <c r="H189" s="1405"/>
      <c r="I189" s="1405"/>
      <c r="J189" s="1405"/>
      <c r="K189" s="1405"/>
      <c r="L189" s="1405"/>
      <c r="M189" s="1405"/>
      <c r="N189" s="1406"/>
      <c r="O189" s="1406"/>
      <c r="P189" s="1405"/>
    </row>
    <row r="190" spans="2:16">
      <c r="B190" s="1405"/>
      <c r="C190" s="1405"/>
      <c r="D190" s="1405"/>
      <c r="E190" s="1405"/>
      <c r="F190" s="1405"/>
      <c r="G190" s="1405"/>
      <c r="H190" s="1405"/>
      <c r="I190" s="1405"/>
      <c r="J190" s="1405"/>
      <c r="K190" s="1405"/>
      <c r="L190" s="1405"/>
      <c r="M190" s="1405"/>
      <c r="N190" s="1406"/>
      <c r="O190" s="1406"/>
      <c r="P190" s="1405"/>
    </row>
    <row r="191" spans="2:16">
      <c r="B191" s="1405"/>
      <c r="C191" s="1405"/>
      <c r="D191" s="1405"/>
      <c r="E191" s="1405"/>
      <c r="F191" s="1405"/>
      <c r="G191" s="1405"/>
      <c r="H191" s="1405"/>
      <c r="I191" s="1405"/>
      <c r="J191" s="1405"/>
      <c r="K191" s="1405"/>
      <c r="L191" s="1405"/>
      <c r="M191" s="1405"/>
      <c r="N191" s="1406"/>
      <c r="O191" s="1406"/>
      <c r="P191" s="1405"/>
    </row>
    <row r="192" spans="2:16">
      <c r="B192" s="1405"/>
      <c r="C192" s="1405"/>
      <c r="D192" s="1405"/>
      <c r="E192" s="1405"/>
      <c r="F192" s="1405"/>
      <c r="G192" s="1405"/>
      <c r="H192" s="1405"/>
      <c r="I192" s="1405"/>
      <c r="J192" s="1405"/>
      <c r="K192" s="1405"/>
      <c r="L192" s="1405"/>
      <c r="M192" s="1405"/>
      <c r="N192" s="1406"/>
      <c r="O192" s="1406"/>
      <c r="P192" s="1405"/>
    </row>
    <row r="193" spans="2:16">
      <c r="B193" s="1405"/>
      <c r="C193" s="1405"/>
      <c r="D193" s="1405"/>
      <c r="E193" s="1405"/>
      <c r="F193" s="1405"/>
      <c r="G193" s="1405"/>
      <c r="H193" s="1405"/>
      <c r="I193" s="1405"/>
      <c r="J193" s="1405"/>
      <c r="K193" s="1405"/>
      <c r="L193" s="1405"/>
      <c r="M193" s="1405"/>
      <c r="N193" s="1406"/>
      <c r="O193" s="1406"/>
      <c r="P193" s="1405"/>
    </row>
    <row r="194" spans="2:16">
      <c r="B194" s="1405"/>
      <c r="C194" s="1405"/>
      <c r="D194" s="1405"/>
      <c r="E194" s="1405"/>
      <c r="F194" s="1405"/>
      <c r="G194" s="1405"/>
      <c r="H194" s="1405"/>
      <c r="I194" s="1405"/>
      <c r="J194" s="1405"/>
      <c r="K194" s="1405"/>
      <c r="L194" s="1405"/>
      <c r="M194" s="1405"/>
      <c r="N194" s="1406"/>
      <c r="O194" s="1406"/>
      <c r="P194" s="1405"/>
    </row>
    <row r="195" spans="2:16">
      <c r="B195" s="1405"/>
      <c r="C195" s="1405"/>
      <c r="D195" s="1405"/>
      <c r="E195" s="1405"/>
      <c r="F195" s="1405"/>
      <c r="G195" s="1405"/>
      <c r="H195" s="1405"/>
      <c r="I195" s="1405"/>
      <c r="J195" s="1405"/>
      <c r="K195" s="1405"/>
      <c r="L195" s="1405"/>
      <c r="M195" s="1405"/>
      <c r="N195" s="1406"/>
      <c r="O195" s="1406"/>
      <c r="P195" s="1405"/>
    </row>
    <row r="196" spans="2:16">
      <c r="B196" s="1405"/>
      <c r="C196" s="1405"/>
      <c r="D196" s="1405"/>
      <c r="E196" s="1405"/>
      <c r="F196" s="1405"/>
      <c r="G196" s="1405"/>
      <c r="H196" s="1405"/>
      <c r="I196" s="1405"/>
      <c r="J196" s="1405"/>
      <c r="K196" s="1405"/>
      <c r="L196" s="1405"/>
      <c r="M196" s="1405"/>
      <c r="N196" s="1406"/>
      <c r="O196" s="1406"/>
      <c r="P196" s="1405"/>
    </row>
    <row r="197" spans="2:16">
      <c r="B197" s="1405"/>
      <c r="C197" s="1405"/>
      <c r="D197" s="1405"/>
      <c r="E197" s="1405"/>
      <c r="F197" s="1405"/>
      <c r="G197" s="1405"/>
      <c r="H197" s="1405"/>
      <c r="I197" s="1405"/>
      <c r="J197" s="1405"/>
      <c r="K197" s="1405"/>
      <c r="L197" s="1405"/>
      <c r="M197" s="1405"/>
      <c r="N197" s="1406"/>
      <c r="O197" s="1406"/>
      <c r="P197" s="1405"/>
    </row>
    <row r="198" spans="2:16">
      <c r="B198" s="1405"/>
      <c r="C198" s="1405"/>
      <c r="D198" s="1405"/>
      <c r="E198" s="1405"/>
      <c r="F198" s="1405"/>
      <c r="G198" s="1405"/>
      <c r="H198" s="1405"/>
      <c r="I198" s="1405"/>
      <c r="J198" s="1405"/>
      <c r="K198" s="1405"/>
      <c r="L198" s="1405"/>
      <c r="M198" s="1405"/>
      <c r="N198" s="1406"/>
      <c r="O198" s="1406"/>
      <c r="P198" s="1405"/>
    </row>
    <row r="199" spans="2:16">
      <c r="B199" s="1405"/>
      <c r="C199" s="1405"/>
      <c r="D199" s="1405"/>
      <c r="E199" s="1405"/>
      <c r="F199" s="1405"/>
      <c r="G199" s="1405"/>
      <c r="H199" s="1405"/>
      <c r="I199" s="1405"/>
      <c r="J199" s="1405"/>
      <c r="K199" s="1405"/>
      <c r="L199" s="1405"/>
      <c r="M199" s="1405"/>
      <c r="N199" s="1406"/>
      <c r="O199" s="1406"/>
      <c r="P199" s="1405"/>
    </row>
    <row r="200" spans="2:16">
      <c r="B200" s="1405"/>
      <c r="C200" s="1405"/>
      <c r="D200" s="1405"/>
      <c r="E200" s="1405"/>
      <c r="F200" s="1405"/>
      <c r="G200" s="1405"/>
      <c r="H200" s="1405"/>
      <c r="I200" s="1405"/>
      <c r="J200" s="1405"/>
      <c r="K200" s="1405"/>
      <c r="L200" s="1405"/>
      <c r="M200" s="1405"/>
      <c r="N200" s="1406"/>
      <c r="O200" s="1406"/>
      <c r="P200" s="1405"/>
    </row>
    <row r="201" spans="2:16">
      <c r="B201" s="1405"/>
      <c r="C201" s="1405"/>
      <c r="D201" s="1405"/>
      <c r="E201" s="1405"/>
      <c r="F201" s="1405"/>
      <c r="G201" s="1405"/>
      <c r="H201" s="1405"/>
      <c r="I201" s="1405"/>
      <c r="J201" s="1405"/>
      <c r="K201" s="1405"/>
      <c r="L201" s="1405"/>
      <c r="M201" s="1405"/>
      <c r="N201" s="1406"/>
      <c r="O201" s="1406"/>
      <c r="P201" s="1405"/>
    </row>
    <row r="202" spans="2:16">
      <c r="B202" s="1405"/>
      <c r="C202" s="1405"/>
      <c r="D202" s="1405"/>
      <c r="E202" s="1405"/>
      <c r="F202" s="1405"/>
      <c r="G202" s="1405"/>
      <c r="H202" s="1405"/>
      <c r="I202" s="1405"/>
      <c r="J202" s="1405"/>
      <c r="K202" s="1405"/>
      <c r="L202" s="1405"/>
      <c r="M202" s="1405"/>
      <c r="N202" s="1406"/>
      <c r="O202" s="1406"/>
      <c r="P202" s="1405"/>
    </row>
    <row r="203" spans="2:16">
      <c r="B203" s="1405"/>
      <c r="C203" s="1405"/>
      <c r="D203" s="1405"/>
      <c r="E203" s="1405"/>
      <c r="F203" s="1405"/>
      <c r="G203" s="1405"/>
      <c r="H203" s="1405"/>
      <c r="I203" s="1405"/>
      <c r="J203" s="1405"/>
      <c r="K203" s="1405"/>
      <c r="L203" s="1405"/>
      <c r="M203" s="1405"/>
      <c r="N203" s="1406"/>
      <c r="O203" s="1406"/>
      <c r="P203" s="1405"/>
    </row>
    <row r="204" spans="2:16">
      <c r="B204" s="1405"/>
      <c r="C204" s="1405"/>
      <c r="D204" s="1405"/>
      <c r="E204" s="1405"/>
      <c r="F204" s="1405"/>
      <c r="G204" s="1405"/>
      <c r="H204" s="1405"/>
      <c r="I204" s="1405"/>
      <c r="J204" s="1405"/>
      <c r="K204" s="1405"/>
      <c r="L204" s="1405"/>
      <c r="M204" s="1405"/>
      <c r="N204" s="1406"/>
      <c r="O204" s="1406"/>
      <c r="P204" s="1405"/>
    </row>
    <row r="205" spans="2:16">
      <c r="B205" s="1405"/>
      <c r="C205" s="1405"/>
      <c r="D205" s="1405"/>
      <c r="E205" s="1405"/>
      <c r="F205" s="1405"/>
      <c r="G205" s="1405"/>
      <c r="H205" s="1405"/>
      <c r="I205" s="1405"/>
      <c r="J205" s="1405"/>
      <c r="K205" s="1405"/>
      <c r="L205" s="1405"/>
      <c r="M205" s="1405"/>
      <c r="N205" s="1406"/>
      <c r="O205" s="1406"/>
      <c r="P205" s="1405"/>
    </row>
    <row r="206" spans="2:16">
      <c r="B206" s="1405"/>
      <c r="C206" s="1405"/>
      <c r="D206" s="1405"/>
      <c r="E206" s="1405"/>
      <c r="F206" s="1405"/>
      <c r="G206" s="1405"/>
      <c r="H206" s="1405"/>
      <c r="I206" s="1405"/>
      <c r="J206" s="1405"/>
      <c r="K206" s="1405"/>
      <c r="L206" s="1405"/>
      <c r="M206" s="1405"/>
      <c r="N206" s="1406"/>
      <c r="O206" s="1406"/>
      <c r="P206" s="1405"/>
    </row>
    <row r="207" spans="2:16">
      <c r="B207" s="1405"/>
      <c r="C207" s="1405"/>
      <c r="D207" s="1405"/>
      <c r="E207" s="1405"/>
      <c r="F207" s="1405"/>
      <c r="G207" s="1405"/>
      <c r="H207" s="1405"/>
      <c r="I207" s="1405"/>
      <c r="J207" s="1405"/>
      <c r="K207" s="1405"/>
      <c r="L207" s="1405"/>
      <c r="M207" s="1405"/>
      <c r="N207" s="1406"/>
      <c r="O207" s="1406"/>
      <c r="P207" s="1405"/>
    </row>
    <row r="208" spans="2:16">
      <c r="B208" s="1405"/>
      <c r="C208" s="1405"/>
      <c r="D208" s="1405"/>
      <c r="E208" s="1405"/>
      <c r="F208" s="1405"/>
      <c r="G208" s="1405"/>
      <c r="H208" s="1405"/>
      <c r="I208" s="1405"/>
      <c r="J208" s="1405"/>
      <c r="K208" s="1405"/>
      <c r="L208" s="1405"/>
      <c r="M208" s="1405"/>
      <c r="N208" s="1406"/>
      <c r="O208" s="1406"/>
      <c r="P208" s="1405"/>
    </row>
    <row r="209" spans="1:16">
      <c r="B209" s="1405"/>
      <c r="C209" s="1405"/>
      <c r="D209" s="1405"/>
      <c r="E209" s="1405"/>
      <c r="F209" s="1405"/>
      <c r="G209" s="1405"/>
      <c r="H209" s="1405"/>
      <c r="I209" s="1405"/>
      <c r="J209" s="1405"/>
      <c r="K209" s="1405"/>
      <c r="L209" s="1405"/>
      <c r="M209" s="1405"/>
      <c r="N209" s="1406"/>
      <c r="O209" s="1406"/>
      <c r="P209" s="1405"/>
    </row>
    <row r="210" spans="1:16">
      <c r="B210" s="1405"/>
      <c r="C210" s="1405"/>
      <c r="D210" s="1405"/>
      <c r="E210" s="1405"/>
      <c r="F210" s="1405"/>
      <c r="G210" s="1405"/>
      <c r="H210" s="1405"/>
      <c r="I210" s="1405"/>
      <c r="J210" s="1405"/>
      <c r="K210" s="1405"/>
      <c r="L210" s="1405"/>
      <c r="M210" s="1405"/>
      <c r="N210" s="1406"/>
      <c r="O210" s="1406"/>
      <c r="P210" s="1405"/>
    </row>
    <row r="211" spans="1:16">
      <c r="A211" s="1404"/>
      <c r="B211" s="1405"/>
      <c r="C211" s="1405"/>
      <c r="D211" s="1405"/>
      <c r="E211" s="1405"/>
      <c r="F211" s="1405"/>
      <c r="G211" s="1405"/>
      <c r="H211" s="1405"/>
      <c r="I211" s="1405"/>
      <c r="J211" s="1405"/>
      <c r="K211" s="1405"/>
      <c r="L211" s="1405"/>
      <c r="M211" s="1405"/>
      <c r="N211" s="1405"/>
      <c r="O211" s="1405"/>
      <c r="P211" s="1405"/>
    </row>
    <row r="212" spans="1:16">
      <c r="A212" s="1404"/>
      <c r="B212" s="1405"/>
      <c r="C212" s="1405"/>
      <c r="D212" s="1405"/>
      <c r="E212" s="1405"/>
      <c r="F212" s="1405"/>
      <c r="G212" s="1405"/>
      <c r="H212" s="1405"/>
      <c r="I212" s="1405"/>
      <c r="J212" s="1405"/>
      <c r="K212" s="1405"/>
      <c r="L212" s="1405"/>
      <c r="M212" s="1405"/>
      <c r="N212" s="1405"/>
      <c r="O212" s="1405"/>
      <c r="P212" s="1405"/>
    </row>
    <row r="213" spans="1:16">
      <c r="A213" s="1404"/>
      <c r="B213" s="1408"/>
      <c r="C213" s="1408"/>
      <c r="D213" s="1408"/>
      <c r="E213" s="1408"/>
      <c r="F213" s="1408"/>
      <c r="G213" s="1408"/>
      <c r="H213" s="1408"/>
      <c r="I213" s="1408"/>
      <c r="J213" s="1408"/>
      <c r="K213" s="1408"/>
      <c r="L213" s="1408"/>
      <c r="M213" s="1408"/>
      <c r="N213" s="1405"/>
      <c r="O213" s="1405"/>
      <c r="P213" s="1405"/>
    </row>
    <row r="214" spans="1:16">
      <c r="A214" s="1404"/>
      <c r="B214" s="1405"/>
      <c r="C214" s="1405"/>
      <c r="D214" s="1405"/>
      <c r="E214" s="1405"/>
      <c r="F214" s="1405"/>
      <c r="G214" s="1405"/>
      <c r="H214" s="1405"/>
      <c r="I214" s="1405"/>
      <c r="J214" s="1405"/>
      <c r="K214" s="1405"/>
      <c r="L214" s="1405"/>
      <c r="M214" s="1405"/>
      <c r="N214" s="1405"/>
      <c r="O214" s="1405"/>
      <c r="P214" s="1405"/>
    </row>
    <row r="215" spans="1:16">
      <c r="A215" s="1404"/>
      <c r="B215" s="1405"/>
      <c r="C215" s="1405"/>
      <c r="D215" s="1405"/>
      <c r="E215" s="1405"/>
      <c r="F215" s="1405"/>
      <c r="G215" s="1405"/>
      <c r="H215" s="1405"/>
      <c r="I215" s="1405"/>
      <c r="J215" s="1405"/>
      <c r="K215" s="1405"/>
      <c r="L215" s="1405"/>
      <c r="M215" s="1405"/>
      <c r="N215" s="1405"/>
      <c r="O215" s="1405"/>
      <c r="P215" s="1405"/>
    </row>
    <row r="216" spans="1:16">
      <c r="A216" s="1404"/>
      <c r="B216" s="1405"/>
      <c r="C216" s="1405"/>
      <c r="D216" s="1405"/>
      <c r="E216" s="1405"/>
      <c r="F216" s="1405"/>
      <c r="G216" s="1405"/>
      <c r="H216" s="1405"/>
      <c r="I216" s="1405"/>
      <c r="J216" s="1405"/>
      <c r="K216" s="1405"/>
      <c r="L216" s="1405"/>
      <c r="M216" s="1405"/>
      <c r="N216" s="1405"/>
      <c r="O216" s="1405"/>
      <c r="P216" s="1405"/>
    </row>
    <row r="217" spans="1:16">
      <c r="A217" s="1404"/>
      <c r="B217" s="1405"/>
      <c r="C217" s="1405"/>
      <c r="D217" s="1405"/>
      <c r="E217" s="1405"/>
      <c r="F217" s="1405"/>
      <c r="G217" s="1405"/>
      <c r="H217" s="1405"/>
      <c r="I217" s="1405"/>
      <c r="J217" s="1405"/>
      <c r="K217" s="1405"/>
      <c r="L217" s="1405"/>
      <c r="M217" s="1405"/>
      <c r="N217" s="1405"/>
      <c r="O217" s="1405"/>
      <c r="P217" s="1405"/>
    </row>
    <row r="218" spans="1:16">
      <c r="A218" s="1404"/>
      <c r="B218" s="1405"/>
      <c r="C218" s="1405"/>
      <c r="D218" s="1405"/>
      <c r="E218" s="1405"/>
      <c r="F218" s="1405"/>
      <c r="G218" s="1405"/>
      <c r="H218" s="1405"/>
      <c r="I218" s="1405"/>
      <c r="J218" s="1405"/>
      <c r="K218" s="1405"/>
      <c r="L218" s="1405"/>
      <c r="M218" s="1405"/>
      <c r="N218" s="1405"/>
      <c r="O218" s="1405"/>
      <c r="P218" s="1405"/>
    </row>
    <row r="219" spans="1:16">
      <c r="A219" s="1404"/>
      <c r="B219" s="1405"/>
      <c r="C219" s="1405"/>
      <c r="D219" s="1405"/>
      <c r="E219" s="1405"/>
      <c r="F219" s="1405"/>
      <c r="G219" s="1405"/>
      <c r="H219" s="1405"/>
      <c r="I219" s="1405"/>
      <c r="J219" s="1405"/>
      <c r="K219" s="1405"/>
      <c r="L219" s="1405"/>
      <c r="M219" s="1405"/>
      <c r="N219" s="1405"/>
      <c r="O219" s="1405"/>
      <c r="P219" s="1405"/>
    </row>
    <row r="220" spans="1:16">
      <c r="A220" s="1404"/>
      <c r="B220" s="1405"/>
      <c r="C220" s="1405"/>
      <c r="D220" s="1405"/>
      <c r="E220" s="1405"/>
      <c r="F220" s="1405"/>
      <c r="G220" s="1405"/>
      <c r="H220" s="1405"/>
      <c r="I220" s="1405"/>
      <c r="J220" s="1405"/>
      <c r="K220" s="1405"/>
      <c r="L220" s="1405"/>
      <c r="M220" s="1405"/>
      <c r="N220" s="1405"/>
      <c r="O220" s="1405"/>
      <c r="P220" s="1405"/>
    </row>
    <row r="221" spans="1:16">
      <c r="A221" s="1404"/>
      <c r="B221" s="1405"/>
      <c r="C221" s="1405"/>
      <c r="D221" s="1405"/>
      <c r="E221" s="1405"/>
      <c r="F221" s="1405"/>
      <c r="G221" s="1405"/>
      <c r="H221" s="1405"/>
      <c r="I221" s="1405"/>
      <c r="J221" s="1405"/>
      <c r="K221" s="1405"/>
      <c r="L221" s="1405"/>
      <c r="M221" s="1405"/>
      <c r="N221" s="1405"/>
      <c r="O221" s="1405"/>
      <c r="P221" s="1405"/>
    </row>
    <row r="222" spans="1:16">
      <c r="A222" s="1404"/>
      <c r="B222" s="1405"/>
      <c r="C222" s="1405"/>
      <c r="D222" s="1405"/>
      <c r="E222" s="1405"/>
      <c r="F222" s="1405"/>
      <c r="G222" s="1405"/>
      <c r="H222" s="1405"/>
      <c r="I222" s="1405"/>
      <c r="J222" s="1405"/>
      <c r="K222" s="1405"/>
      <c r="L222" s="1405"/>
      <c r="M222" s="1405"/>
      <c r="N222" s="1405"/>
      <c r="O222" s="1405"/>
      <c r="P222" s="1405"/>
    </row>
    <row r="223" spans="1:16">
      <c r="A223" s="1404"/>
      <c r="B223" s="1405"/>
      <c r="C223" s="1405"/>
      <c r="D223" s="1405"/>
      <c r="E223" s="1405"/>
      <c r="F223" s="1405"/>
      <c r="G223" s="1405"/>
      <c r="H223" s="1405"/>
      <c r="I223" s="1405"/>
      <c r="J223" s="1405"/>
      <c r="K223" s="1405"/>
      <c r="L223" s="1405"/>
      <c r="M223" s="1405"/>
      <c r="N223" s="1405"/>
      <c r="O223" s="1405"/>
      <c r="P223" s="1405"/>
    </row>
    <row r="224" spans="1:16">
      <c r="A224" s="1404"/>
      <c r="B224" s="1405"/>
      <c r="C224" s="1405"/>
      <c r="D224" s="1405"/>
      <c r="E224" s="1405"/>
      <c r="F224" s="1405"/>
      <c r="G224" s="1405"/>
      <c r="H224" s="1405"/>
      <c r="I224" s="1405"/>
      <c r="J224" s="1405"/>
      <c r="K224" s="1405"/>
      <c r="L224" s="1405"/>
      <c r="M224" s="1405"/>
      <c r="N224" s="1405"/>
      <c r="O224" s="1405"/>
      <c r="P224" s="1405"/>
    </row>
    <row r="225" spans="1:16">
      <c r="A225" s="1404"/>
      <c r="B225" s="1405"/>
      <c r="C225" s="1405"/>
      <c r="D225" s="1405"/>
      <c r="E225" s="1405"/>
      <c r="F225" s="1405"/>
      <c r="G225" s="1405"/>
      <c r="H225" s="1405"/>
      <c r="I225" s="1405"/>
      <c r="J225" s="1405"/>
      <c r="K225" s="1405"/>
      <c r="L225" s="1405"/>
      <c r="M225" s="1405"/>
      <c r="N225" s="1405"/>
      <c r="O225" s="1405"/>
      <c r="P225" s="1405"/>
    </row>
    <row r="226" spans="1:16">
      <c r="A226" s="1404"/>
      <c r="B226" s="1405"/>
      <c r="C226" s="1405"/>
      <c r="D226" s="1405"/>
      <c r="E226" s="1405"/>
      <c r="F226" s="1405"/>
      <c r="G226" s="1405"/>
      <c r="H226" s="1405"/>
      <c r="I226" s="1405"/>
      <c r="J226" s="1405"/>
      <c r="K226" s="1405"/>
      <c r="L226" s="1405"/>
      <c r="M226" s="1405"/>
      <c r="N226" s="1405"/>
      <c r="O226" s="1405"/>
      <c r="P226" s="1405"/>
    </row>
    <row r="227" spans="1:16">
      <c r="A227" s="1404"/>
      <c r="B227" s="1405"/>
      <c r="C227" s="1405"/>
      <c r="D227" s="1405"/>
      <c r="E227" s="1405"/>
      <c r="F227" s="1405"/>
      <c r="G227" s="1405"/>
      <c r="H227" s="1405"/>
      <c r="I227" s="1405"/>
      <c r="J227" s="1405"/>
      <c r="K227" s="1405"/>
      <c r="L227" s="1405"/>
      <c r="M227" s="1405"/>
      <c r="N227" s="1405"/>
      <c r="O227" s="1405"/>
      <c r="P227" s="1405"/>
    </row>
    <row r="228" spans="1:16">
      <c r="A228" s="1404"/>
      <c r="B228" s="1405"/>
      <c r="C228" s="1405"/>
      <c r="D228" s="1405"/>
      <c r="E228" s="1405"/>
      <c r="F228" s="1405"/>
      <c r="G228" s="1405"/>
      <c r="H228" s="1405"/>
      <c r="I228" s="1405"/>
      <c r="J228" s="1405"/>
      <c r="K228" s="1405"/>
      <c r="L228" s="1405"/>
      <c r="M228" s="1405"/>
      <c r="N228" s="1405"/>
      <c r="O228" s="1405"/>
      <c r="P228" s="1405"/>
    </row>
    <row r="229" spans="1:16">
      <c r="A229" s="1404"/>
      <c r="B229" s="1405"/>
      <c r="C229" s="1405"/>
      <c r="D229" s="1405"/>
      <c r="E229" s="1405"/>
      <c r="F229" s="1405"/>
      <c r="G229" s="1405"/>
      <c r="H229" s="1405"/>
      <c r="I229" s="1405"/>
      <c r="J229" s="1405"/>
      <c r="K229" s="1405"/>
      <c r="L229" s="1405"/>
      <c r="M229" s="1405"/>
      <c r="N229" s="1405"/>
      <c r="O229" s="1405"/>
      <c r="P229" s="1405"/>
    </row>
    <row r="230" spans="1:16">
      <c r="A230" s="1404"/>
      <c r="B230" s="1405"/>
      <c r="C230" s="1405"/>
      <c r="D230" s="1405"/>
      <c r="E230" s="1405"/>
      <c r="F230" s="1405"/>
      <c r="G230" s="1405"/>
      <c r="H230" s="1405"/>
      <c r="I230" s="1405"/>
      <c r="J230" s="1405"/>
      <c r="K230" s="1405"/>
      <c r="L230" s="1405"/>
      <c r="M230" s="1405"/>
      <c r="N230" s="1405"/>
      <c r="O230" s="1405"/>
      <c r="P230" s="1405"/>
    </row>
    <row r="231" spans="1:16">
      <c r="A231" s="1404"/>
      <c r="B231" s="1405"/>
      <c r="C231" s="1405"/>
      <c r="D231" s="1405"/>
      <c r="E231" s="1405"/>
      <c r="F231" s="1405"/>
      <c r="G231" s="1405"/>
      <c r="H231" s="1405"/>
      <c r="I231" s="1405"/>
      <c r="J231" s="1405"/>
      <c r="K231" s="1405"/>
      <c r="L231" s="1405"/>
      <c r="M231" s="1405"/>
      <c r="N231" s="1405"/>
      <c r="O231" s="1405"/>
      <c r="P231" s="1405"/>
    </row>
    <row r="232" spans="1:16">
      <c r="A232" s="1404"/>
      <c r="B232" s="1405"/>
      <c r="C232" s="1405"/>
      <c r="D232" s="1405"/>
      <c r="E232" s="1405"/>
      <c r="F232" s="1405"/>
      <c r="G232" s="1405"/>
      <c r="H232" s="1405"/>
      <c r="I232" s="1405"/>
      <c r="J232" s="1405"/>
      <c r="K232" s="1405"/>
      <c r="L232" s="1405"/>
      <c r="M232" s="1405"/>
      <c r="N232" s="1405"/>
      <c r="O232" s="1405"/>
      <c r="P232" s="1405"/>
    </row>
    <row r="233" spans="1:16">
      <c r="A233" s="1404"/>
      <c r="B233" s="1405"/>
      <c r="C233" s="1405"/>
      <c r="D233" s="1405"/>
      <c r="E233" s="1405"/>
      <c r="F233" s="1405"/>
      <c r="G233" s="1405"/>
      <c r="H233" s="1405"/>
      <c r="I233" s="1405"/>
      <c r="J233" s="1405"/>
      <c r="K233" s="1405"/>
      <c r="L233" s="1405"/>
      <c r="M233" s="1405"/>
      <c r="N233" s="1405"/>
      <c r="O233" s="1405"/>
      <c r="P233" s="1405"/>
    </row>
    <row r="234" spans="1:16">
      <c r="A234" s="1404"/>
      <c r="B234" s="1405"/>
      <c r="C234" s="1405"/>
      <c r="D234" s="1405"/>
      <c r="E234" s="1405"/>
      <c r="F234" s="1405"/>
      <c r="G234" s="1405"/>
      <c r="H234" s="1405"/>
      <c r="I234" s="1405"/>
      <c r="J234" s="1405"/>
      <c r="K234" s="1405"/>
      <c r="L234" s="1405"/>
      <c r="M234" s="1405"/>
      <c r="N234" s="1405"/>
      <c r="O234" s="1405"/>
      <c r="P234" s="1405"/>
    </row>
    <row r="235" spans="1:16">
      <c r="A235" s="1404"/>
      <c r="B235" s="1405"/>
      <c r="C235" s="1405"/>
      <c r="D235" s="1405"/>
      <c r="E235" s="1405"/>
      <c r="F235" s="1405"/>
      <c r="G235" s="1405"/>
      <c r="H235" s="1405"/>
      <c r="I235" s="1405"/>
      <c r="J235" s="1405"/>
      <c r="K235" s="1405"/>
      <c r="L235" s="1405"/>
      <c r="M235" s="1405"/>
      <c r="N235" s="1405"/>
      <c r="O235" s="1405"/>
      <c r="P235" s="1405"/>
    </row>
    <row r="236" spans="1:16">
      <c r="A236" s="1404"/>
      <c r="B236" s="1405"/>
      <c r="C236" s="1405"/>
      <c r="D236" s="1405"/>
      <c r="E236" s="1405"/>
      <c r="F236" s="1405"/>
      <c r="G236" s="1405"/>
      <c r="H236" s="1405"/>
      <c r="I236" s="1405"/>
      <c r="J236" s="1405"/>
      <c r="K236" s="1405"/>
      <c r="L236" s="1405"/>
      <c r="M236" s="1405"/>
      <c r="N236" s="1405"/>
      <c r="O236" s="1405"/>
      <c r="P236" s="1405"/>
    </row>
    <row r="237" spans="1:16">
      <c r="A237" s="1404"/>
      <c r="B237" s="1405"/>
      <c r="C237" s="1405"/>
      <c r="D237" s="1405"/>
      <c r="E237" s="1405"/>
      <c r="F237" s="1405"/>
      <c r="G237" s="1405"/>
      <c r="H237" s="1405"/>
      <c r="I237" s="1405"/>
      <c r="J237" s="1405"/>
      <c r="K237" s="1405"/>
      <c r="L237" s="1405"/>
      <c r="M237" s="1405"/>
      <c r="N237" s="1405"/>
      <c r="O237" s="1405"/>
      <c r="P237" s="1405"/>
    </row>
    <row r="238" spans="1:16">
      <c r="A238" s="1404"/>
      <c r="B238" s="1405"/>
      <c r="C238" s="1405"/>
      <c r="D238" s="1405"/>
      <c r="E238" s="1405"/>
      <c r="F238" s="1405"/>
      <c r="G238" s="1405"/>
      <c r="H238" s="1405"/>
      <c r="I238" s="1405"/>
      <c r="J238" s="1405"/>
      <c r="K238" s="1405"/>
      <c r="L238" s="1405"/>
      <c r="M238" s="1405"/>
      <c r="N238" s="1405"/>
      <c r="O238" s="1405"/>
      <c r="P238" s="1405"/>
    </row>
    <row r="239" spans="1:16">
      <c r="A239" s="1404"/>
      <c r="B239" s="1405"/>
      <c r="C239" s="1405"/>
      <c r="D239" s="1405"/>
      <c r="E239" s="1405"/>
      <c r="F239" s="1405"/>
      <c r="G239" s="1405"/>
      <c r="H239" s="1405"/>
      <c r="I239" s="1405"/>
      <c r="J239" s="1405"/>
      <c r="K239" s="1405"/>
      <c r="L239" s="1405"/>
      <c r="M239" s="1405"/>
      <c r="N239" s="1405"/>
      <c r="O239" s="1405"/>
      <c r="P239" s="1405"/>
    </row>
    <row r="240" spans="1:16">
      <c r="A240" s="154"/>
      <c r="B240" s="1409"/>
      <c r="C240" s="1409"/>
      <c r="D240" s="1409"/>
      <c r="E240" s="1409"/>
      <c r="F240" s="1409"/>
      <c r="G240" s="1409"/>
      <c r="H240" s="1409"/>
      <c r="I240" s="1409"/>
      <c r="J240" s="1409"/>
      <c r="K240" s="1409"/>
      <c r="L240" s="1409"/>
      <c r="M240" s="1409"/>
      <c r="N240" s="1409"/>
      <c r="O240" s="1409"/>
      <c r="P240" s="1409"/>
    </row>
    <row r="241" spans="1:16">
      <c r="A241" s="1404"/>
      <c r="B241" s="1405"/>
      <c r="C241" s="1405"/>
      <c r="D241" s="1405"/>
      <c r="E241" s="1405"/>
      <c r="F241" s="1405"/>
      <c r="G241" s="1405"/>
      <c r="H241" s="1405"/>
      <c r="I241" s="1405"/>
      <c r="J241" s="1405"/>
      <c r="K241" s="1405"/>
      <c r="L241" s="1405"/>
      <c r="M241" s="1405"/>
      <c r="N241" s="1405"/>
      <c r="O241" s="1405"/>
      <c r="P241" s="1405"/>
    </row>
  </sheetData>
  <mergeCells count="1">
    <mergeCell ref="A1:H1"/>
  </mergeCells>
  <printOptions horizontalCentered="1"/>
  <pageMargins left="0.5" right="0.5" top="1" bottom="0.5" header="0.5" footer="0.5"/>
  <pageSetup scale="48" fitToHeight="3" orientation="portrait" r:id="rId1"/>
  <headerFooter alignWithMargins="0"/>
  <rowBreaks count="1" manualBreakCount="1">
    <brk id="70"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6F15-F263-429B-9715-72B007F3AD68}">
  <sheetPr>
    <pageSetUpPr fitToPage="1"/>
  </sheetPr>
  <dimension ref="A1:P199"/>
  <sheetViews>
    <sheetView showGridLines="0" view="pageBreakPreview" zoomScale="99" zoomScaleNormal="100" zoomScaleSheetLayoutView="99" workbookViewId="0">
      <selection sqref="A1:XFD1048576"/>
    </sheetView>
  </sheetViews>
  <sheetFormatPr defaultColWidth="9.1796875" defaultRowHeight="12.5"/>
  <cols>
    <col min="1" max="1" width="32.7265625" style="969" customWidth="1"/>
    <col min="2" max="2" width="14.26953125" style="969" customWidth="1"/>
    <col min="3" max="3" width="5.1796875" style="969" customWidth="1"/>
    <col min="4" max="4" width="14.26953125" style="969" customWidth="1"/>
    <col min="5" max="5" width="4.7265625" style="969" customWidth="1"/>
    <col min="6" max="6" width="14.26953125" style="969" customWidth="1"/>
    <col min="7" max="7" width="3.26953125" style="969" customWidth="1"/>
    <col min="8" max="8" width="15.54296875" style="969" bestFit="1" customWidth="1"/>
    <col min="9" max="9" width="4.453125" style="969" customWidth="1"/>
    <col min="10" max="10" width="15.54296875" style="969" bestFit="1" customWidth="1"/>
    <col min="11" max="11" width="3.7265625" style="969" customWidth="1"/>
    <col min="12" max="12" width="15.54296875" style="969" bestFit="1" customWidth="1"/>
    <col min="13" max="13" width="4.1796875" style="969" customWidth="1"/>
    <col min="14" max="14" width="15.7265625" style="969" bestFit="1" customWidth="1"/>
    <col min="15" max="15" width="3.54296875" style="969" customWidth="1"/>
    <col min="16" max="16" width="18.26953125" style="969" bestFit="1" customWidth="1"/>
    <col min="17" max="16384" width="9.1796875" style="969"/>
  </cols>
  <sheetData>
    <row r="1" spans="1:16" ht="18">
      <c r="A1" s="1963" t="s">
        <v>343</v>
      </c>
      <c r="B1" s="1964"/>
      <c r="C1" s="1964"/>
      <c r="D1" s="1964"/>
      <c r="E1" s="1964"/>
      <c r="F1" s="1964"/>
      <c r="G1" s="1964"/>
    </row>
    <row r="2" spans="1:16" ht="13">
      <c r="H2" s="1400"/>
      <c r="I2" s="1401"/>
      <c r="J2" s="154"/>
    </row>
    <row r="3" spans="1:16" ht="13">
      <c r="A3" s="1402" t="s">
        <v>1235</v>
      </c>
      <c r="H3" s="1400"/>
      <c r="I3" s="1401"/>
      <c r="J3" s="154"/>
    </row>
    <row r="4" spans="1:16" ht="13">
      <c r="A4" s="1401"/>
      <c r="B4" s="1401"/>
      <c r="C4" s="1401"/>
      <c r="D4" s="1401"/>
      <c r="E4" s="1401"/>
      <c r="F4" s="1401"/>
      <c r="G4" s="1401"/>
      <c r="H4" s="1401"/>
      <c r="I4" s="1401"/>
      <c r="J4" s="154"/>
    </row>
    <row r="5" spans="1:16" ht="14.5">
      <c r="A5" s="1052"/>
      <c r="B5" s="571" t="s">
        <v>599</v>
      </c>
      <c r="C5" s="571"/>
      <c r="D5" s="571" t="s">
        <v>600</v>
      </c>
      <c r="E5" s="571"/>
      <c r="F5" s="571"/>
      <c r="G5" s="571"/>
      <c r="H5" s="571"/>
      <c r="I5" s="571"/>
      <c r="J5" s="571"/>
      <c r="K5" s="571"/>
      <c r="L5" s="571"/>
      <c r="M5" s="571"/>
      <c r="N5" s="571"/>
      <c r="O5" s="571"/>
      <c r="P5" s="571"/>
    </row>
    <row r="6" spans="1:16" ht="14.5">
      <c r="A6" s="1052"/>
      <c r="B6" s="571" t="s">
        <v>601</v>
      </c>
      <c r="C6" s="571"/>
      <c r="D6" s="571" t="s">
        <v>602</v>
      </c>
      <c r="E6" s="571"/>
      <c r="F6" s="571" t="s">
        <v>176</v>
      </c>
      <c r="G6" s="571"/>
      <c r="H6" s="571" t="s">
        <v>1236</v>
      </c>
      <c r="J6" s="571" t="s">
        <v>1237</v>
      </c>
      <c r="L6" s="571" t="s">
        <v>1238</v>
      </c>
      <c r="M6" s="571"/>
      <c r="N6" s="571" t="s">
        <v>603</v>
      </c>
      <c r="O6" s="571"/>
      <c r="P6" s="571" t="s">
        <v>59</v>
      </c>
    </row>
    <row r="7" spans="1:16" ht="14.5">
      <c r="A7" s="1052"/>
      <c r="B7" s="1403"/>
      <c r="C7" s="1403"/>
      <c r="D7" s="1403"/>
      <c r="E7" s="1403"/>
      <c r="F7" s="1403"/>
      <c r="G7" s="1403"/>
      <c r="H7" s="1403"/>
      <c r="I7" s="1403"/>
      <c r="J7" s="1403"/>
      <c r="K7" s="1403"/>
      <c r="L7" s="1403"/>
      <c r="M7" s="1403"/>
      <c r="N7" s="1403"/>
      <c r="O7" s="981"/>
      <c r="P7" s="980"/>
    </row>
    <row r="8" spans="1:16">
      <c r="A8" s="1721" t="s">
        <v>1406</v>
      </c>
      <c r="B8" s="1721">
        <v>181959.02000000002</v>
      </c>
      <c r="C8" s="1721"/>
      <c r="D8" s="1721">
        <v>149775.14000000001</v>
      </c>
      <c r="E8" s="1721"/>
      <c r="F8" s="1721">
        <v>295363.7300000001</v>
      </c>
      <c r="G8" s="1721"/>
      <c r="H8" s="1721">
        <v>485553.75</v>
      </c>
      <c r="I8" s="1721"/>
      <c r="J8" s="1721">
        <v>1056011.43</v>
      </c>
      <c r="K8" s="1721"/>
      <c r="L8" s="1721">
        <v>523202.37</v>
      </c>
      <c r="M8" s="1721"/>
      <c r="N8" s="1721">
        <v>476216.34999999963</v>
      </c>
      <c r="O8" s="1722"/>
      <c r="P8" s="1821">
        <f t="shared" ref="P8:P28" si="0">SUM(B8:O8)</f>
        <v>3168081.79</v>
      </c>
    </row>
    <row r="9" spans="1:16">
      <c r="A9" s="1721" t="s">
        <v>1407</v>
      </c>
      <c r="B9" s="1721">
        <v>1079200.1499999999</v>
      </c>
      <c r="C9" s="1721"/>
      <c r="D9" s="1721">
        <v>898023.57</v>
      </c>
      <c r="E9" s="1721"/>
      <c r="F9" s="1721">
        <v>1762931.66</v>
      </c>
      <c r="G9" s="1721"/>
      <c r="H9" s="1721">
        <v>2864329.3200000003</v>
      </c>
      <c r="I9" s="1721"/>
      <c r="J9" s="1721">
        <v>6297137.4300000006</v>
      </c>
      <c r="K9" s="1721"/>
      <c r="L9" s="1721">
        <v>2892667.5799999996</v>
      </c>
      <c r="M9" s="1721"/>
      <c r="N9" s="1721">
        <v>2311291.4299999997</v>
      </c>
      <c r="O9" s="1722"/>
      <c r="P9" s="1821">
        <f t="shared" si="0"/>
        <v>18105581.140000001</v>
      </c>
    </row>
    <row r="10" spans="1:16">
      <c r="A10" s="1721" t="s">
        <v>1408</v>
      </c>
      <c r="B10" s="1721">
        <v>192329.68</v>
      </c>
      <c r="C10" s="1721"/>
      <c r="D10" s="1721">
        <v>361699.28</v>
      </c>
      <c r="E10" s="1721"/>
      <c r="F10" s="1721">
        <v>330802.15999999997</v>
      </c>
      <c r="G10" s="1721"/>
      <c r="H10" s="1721">
        <v>537153.53</v>
      </c>
      <c r="I10" s="1721"/>
      <c r="J10" s="1721">
        <v>1260731.8300000003</v>
      </c>
      <c r="K10" s="1721"/>
      <c r="L10" s="1721">
        <v>544745.83000000007</v>
      </c>
      <c r="M10" s="1721"/>
      <c r="N10" s="1721">
        <v>37577666.210000001</v>
      </c>
      <c r="O10" s="1722"/>
      <c r="P10" s="1821">
        <f t="shared" si="0"/>
        <v>40805128.520000003</v>
      </c>
    </row>
    <row r="11" spans="1:16">
      <c r="A11" s="1721" t="s">
        <v>1409</v>
      </c>
      <c r="B11" s="1721">
        <v>461605.3</v>
      </c>
      <c r="C11" s="1721"/>
      <c r="D11" s="1721">
        <v>385469.25</v>
      </c>
      <c r="E11" s="1721"/>
      <c r="F11" s="1721">
        <v>817766.58000000007</v>
      </c>
      <c r="G11" s="1721"/>
      <c r="H11" s="1721">
        <v>1337694.6000000001</v>
      </c>
      <c r="I11" s="1721"/>
      <c r="J11" s="1721">
        <v>2883515.52</v>
      </c>
      <c r="K11" s="1721"/>
      <c r="L11" s="1721">
        <v>1349333.78</v>
      </c>
      <c r="M11" s="1721"/>
      <c r="N11" s="1721">
        <v>2155343.5700000012</v>
      </c>
      <c r="O11" s="1722"/>
      <c r="P11" s="1821">
        <f t="shared" si="0"/>
        <v>9390728.6000000015</v>
      </c>
    </row>
    <row r="12" spans="1:16">
      <c r="A12" s="1721" t="s">
        <v>1410</v>
      </c>
      <c r="B12" s="1721">
        <v>987250.25</v>
      </c>
      <c r="C12" s="1721"/>
      <c r="D12" s="1721">
        <v>457001.76</v>
      </c>
      <c r="E12" s="1721"/>
      <c r="F12" s="1721">
        <v>897513.45</v>
      </c>
      <c r="G12" s="1721"/>
      <c r="H12" s="1721">
        <v>3177761.1899999995</v>
      </c>
      <c r="I12" s="1721"/>
      <c r="J12" s="1721">
        <v>3058624.27</v>
      </c>
      <c r="K12" s="1721"/>
      <c r="L12" s="1721">
        <v>2241212.4400000004</v>
      </c>
      <c r="M12" s="1721"/>
      <c r="N12" s="1721">
        <v>904845.38000000082</v>
      </c>
      <c r="O12" s="1722"/>
      <c r="P12" s="1821">
        <f t="shared" si="0"/>
        <v>11724208.74</v>
      </c>
    </row>
    <row r="13" spans="1:16">
      <c r="A13" s="1721" t="s">
        <v>1411</v>
      </c>
      <c r="B13" s="1721">
        <v>695228.21</v>
      </c>
      <c r="C13" s="1721"/>
      <c r="D13" s="1721">
        <v>577410.85</v>
      </c>
      <c r="E13" s="1721"/>
      <c r="F13" s="1721">
        <v>1134453</v>
      </c>
      <c r="G13" s="1721"/>
      <c r="H13" s="1721">
        <v>1843612.91</v>
      </c>
      <c r="I13" s="1721"/>
      <c r="J13" s="1721">
        <v>3857769.8899999997</v>
      </c>
      <c r="K13" s="1721"/>
      <c r="L13" s="1721">
        <v>1857546.72</v>
      </c>
      <c r="M13" s="1721"/>
      <c r="N13" s="1721">
        <v>125168.04000000283</v>
      </c>
      <c r="O13" s="1722"/>
      <c r="P13" s="1821">
        <f t="shared" si="0"/>
        <v>10091189.620000003</v>
      </c>
    </row>
    <row r="14" spans="1:16">
      <c r="A14" s="1721" t="s">
        <v>1412</v>
      </c>
      <c r="B14" s="1721">
        <v>3553393.2199999997</v>
      </c>
      <c r="C14" s="1721"/>
      <c r="D14" s="1721">
        <v>2931298.67</v>
      </c>
      <c r="E14" s="1721"/>
      <c r="F14" s="1721">
        <v>5786775.3600000003</v>
      </c>
      <c r="G14" s="1721"/>
      <c r="H14" s="1721">
        <v>9465640.9199999999</v>
      </c>
      <c r="I14" s="1721"/>
      <c r="J14" s="1721">
        <v>19647052.779999997</v>
      </c>
      <c r="K14" s="1721"/>
      <c r="L14" s="1721">
        <v>9524948.290000001</v>
      </c>
      <c r="M14" s="1721"/>
      <c r="N14" s="1721">
        <v>3399129.1700000018</v>
      </c>
      <c r="O14" s="1722"/>
      <c r="P14" s="1821">
        <f t="shared" si="0"/>
        <v>54308238.410000004</v>
      </c>
    </row>
    <row r="15" spans="1:16">
      <c r="A15" s="1721" t="s">
        <v>1414</v>
      </c>
      <c r="B15" s="1721">
        <v>8474248.2699999996</v>
      </c>
      <c r="C15" s="1721"/>
      <c r="D15" s="1721">
        <v>5003991.5299999993</v>
      </c>
      <c r="E15" s="1721"/>
      <c r="F15" s="1721">
        <v>11023775.810000001</v>
      </c>
      <c r="G15" s="1721"/>
      <c r="H15" s="1721">
        <v>17891193.940000001</v>
      </c>
      <c r="I15" s="1721"/>
      <c r="J15" s="1721">
        <v>24868369.209999997</v>
      </c>
      <c r="K15" s="1721"/>
      <c r="L15" s="1721">
        <v>19090741.550000001</v>
      </c>
      <c r="M15" s="1721"/>
      <c r="N15" s="1721">
        <v>2866047.3900000304</v>
      </c>
      <c r="O15" s="1722"/>
      <c r="P15" s="1821">
        <f t="shared" si="0"/>
        <v>89218367.700000018</v>
      </c>
    </row>
    <row r="16" spans="1:16">
      <c r="A16" s="1721" t="s">
        <v>1413</v>
      </c>
      <c r="B16" s="1721">
        <v>0</v>
      </c>
      <c r="C16" s="1721"/>
      <c r="D16" s="1721">
        <v>0</v>
      </c>
      <c r="E16" s="1721"/>
      <c r="F16" s="1721">
        <v>0</v>
      </c>
      <c r="G16" s="1721"/>
      <c r="H16" s="1721">
        <v>0</v>
      </c>
      <c r="I16" s="1721"/>
      <c r="J16" s="1721">
        <v>0</v>
      </c>
      <c r="K16" s="1721"/>
      <c r="L16" s="1721">
        <v>0</v>
      </c>
      <c r="M16" s="1721"/>
      <c r="N16" s="1721">
        <v>6037.23</v>
      </c>
      <c r="O16" s="1722"/>
      <c r="P16" s="1821">
        <f t="shared" si="0"/>
        <v>6037.23</v>
      </c>
    </row>
    <row r="17" spans="1:16">
      <c r="A17" s="1721" t="s">
        <v>1415</v>
      </c>
      <c r="B17" s="1721">
        <v>8815148.2400000002</v>
      </c>
      <c r="C17" s="1721"/>
      <c r="D17" s="1721">
        <v>7445764.5</v>
      </c>
      <c r="E17" s="1721"/>
      <c r="F17" s="1721">
        <v>14917992.620000003</v>
      </c>
      <c r="G17" s="1721"/>
      <c r="H17" s="1721">
        <v>22316812.039999999</v>
      </c>
      <c r="I17" s="1721"/>
      <c r="J17" s="1721">
        <v>39983820.789999999</v>
      </c>
      <c r="K17" s="1721"/>
      <c r="L17" s="1721">
        <v>20603842.330000002</v>
      </c>
      <c r="M17" s="1721"/>
      <c r="N17" s="1721">
        <v>20017585.969999984</v>
      </c>
      <c r="O17" s="1722"/>
      <c r="P17" s="1821">
        <f t="shared" si="0"/>
        <v>134100966.48999998</v>
      </c>
    </row>
    <row r="18" spans="1:16">
      <c r="A18" s="1721" t="s">
        <v>1416</v>
      </c>
      <c r="B18" s="1721">
        <v>484431.35</v>
      </c>
      <c r="C18" s="1721"/>
      <c r="D18" s="1721">
        <v>454633.61999999988</v>
      </c>
      <c r="E18" s="1721"/>
      <c r="F18" s="1721">
        <v>707454.24000000011</v>
      </c>
      <c r="G18" s="1721"/>
      <c r="H18" s="1721">
        <v>1332138.8700000001</v>
      </c>
      <c r="I18" s="1721"/>
      <c r="J18" s="1721">
        <v>2423784.7400000002</v>
      </c>
      <c r="K18" s="1721"/>
      <c r="L18" s="1721">
        <v>1239830.4300000002</v>
      </c>
      <c r="M18" s="1721"/>
      <c r="N18" s="1721">
        <v>1790420.4399999864</v>
      </c>
      <c r="O18" s="1722"/>
      <c r="P18" s="1821">
        <f t="shared" si="0"/>
        <v>8432693.6899999864</v>
      </c>
    </row>
    <row r="19" spans="1:16">
      <c r="A19" s="1721" t="s">
        <v>1417</v>
      </c>
      <c r="B19" s="1721">
        <v>2250269.8199999998</v>
      </c>
      <c r="C19" s="1721"/>
      <c r="D19" s="1721">
        <v>1877943.09</v>
      </c>
      <c r="E19" s="1721"/>
      <c r="F19" s="1721">
        <v>3686813.1599999997</v>
      </c>
      <c r="G19" s="1721"/>
      <c r="H19" s="1721">
        <v>5887238.3399999989</v>
      </c>
      <c r="I19" s="1721"/>
      <c r="J19" s="1721">
        <v>16578498.960000001</v>
      </c>
      <c r="K19" s="1721"/>
      <c r="L19" s="1721">
        <v>5927719.4800000004</v>
      </c>
      <c r="M19" s="1721"/>
      <c r="N19" s="1721">
        <v>5969127.2799999863</v>
      </c>
      <c r="O19" s="1722"/>
      <c r="P19" s="1821">
        <f t="shared" si="0"/>
        <v>42177610.129999988</v>
      </c>
    </row>
    <row r="20" spans="1:16">
      <c r="A20" s="1721" t="s">
        <v>1418</v>
      </c>
      <c r="B20" s="1721">
        <v>2913968.2199999997</v>
      </c>
      <c r="C20" s="1721"/>
      <c r="D20" s="1721">
        <v>2038434.8699999999</v>
      </c>
      <c r="E20" s="1721"/>
      <c r="F20" s="1721">
        <v>4420980.1100000003</v>
      </c>
      <c r="G20" s="1721"/>
      <c r="H20" s="1721">
        <v>9695196.7000000011</v>
      </c>
      <c r="I20" s="1721"/>
      <c r="J20" s="1721">
        <v>19872890.979999997</v>
      </c>
      <c r="K20" s="1721"/>
      <c r="L20" s="1721">
        <v>8893750.290000001</v>
      </c>
      <c r="M20" s="1721"/>
      <c r="N20" s="1721">
        <v>6874385.5600000024</v>
      </c>
      <c r="O20" s="1722"/>
      <c r="P20" s="1821">
        <f t="shared" si="0"/>
        <v>54709606.729999997</v>
      </c>
    </row>
    <row r="21" spans="1:16">
      <c r="A21" s="1721" t="s">
        <v>1419</v>
      </c>
      <c r="B21" s="1721">
        <v>81536584.360000014</v>
      </c>
      <c r="C21" s="1721"/>
      <c r="D21" s="1721">
        <v>84098053.700000003</v>
      </c>
      <c r="E21" s="1721"/>
      <c r="F21" s="1721">
        <v>117082448.20999996</v>
      </c>
      <c r="G21" s="1721"/>
      <c r="H21" s="1721">
        <v>239417572.94</v>
      </c>
      <c r="I21" s="1721"/>
      <c r="J21" s="1721">
        <v>465254621</v>
      </c>
      <c r="K21" s="1721"/>
      <c r="L21" s="1721">
        <v>227599697.77000001</v>
      </c>
      <c r="M21" s="1721"/>
      <c r="N21" s="1721">
        <v>52883696.289999962</v>
      </c>
      <c r="O21" s="1722"/>
      <c r="P21" s="1821">
        <f t="shared" si="0"/>
        <v>1267872674.27</v>
      </c>
    </row>
    <row r="22" spans="1:16">
      <c r="A22" s="1721" t="s">
        <v>1420</v>
      </c>
      <c r="B22" s="1721">
        <v>237706.90999999997</v>
      </c>
      <c r="C22" s="1721"/>
      <c r="D22" s="1721">
        <v>198207.61000000004</v>
      </c>
      <c r="E22" s="1721"/>
      <c r="F22" s="1721">
        <v>389448.55</v>
      </c>
      <c r="G22" s="1721"/>
      <c r="H22" s="1721">
        <v>631648.03</v>
      </c>
      <c r="I22" s="1721"/>
      <c r="J22" s="1721">
        <v>1340051.3099999998</v>
      </c>
      <c r="K22" s="1721"/>
      <c r="L22" s="1721">
        <v>637290.69999999995</v>
      </c>
      <c r="M22" s="1721"/>
      <c r="N22" s="1721">
        <v>368632.85999999987</v>
      </c>
      <c r="O22" s="1722"/>
      <c r="P22" s="1821">
        <f t="shared" si="0"/>
        <v>3802985.97</v>
      </c>
    </row>
    <row r="23" spans="1:16">
      <c r="A23" s="1721" t="s">
        <v>1421</v>
      </c>
      <c r="B23" s="1721">
        <v>1630322.29</v>
      </c>
      <c r="C23" s="1721"/>
      <c r="D23" s="1721">
        <v>1414406.68</v>
      </c>
      <c r="E23" s="1721"/>
      <c r="F23" s="1721">
        <v>2540135.13</v>
      </c>
      <c r="G23" s="1721"/>
      <c r="H23" s="1721">
        <v>3366248.7700000005</v>
      </c>
      <c r="I23" s="1721"/>
      <c r="J23" s="1721">
        <v>6367977.5500000007</v>
      </c>
      <c r="K23" s="1721"/>
      <c r="L23" s="1721">
        <v>3875824.1100000003</v>
      </c>
      <c r="M23" s="1721"/>
      <c r="N23" s="1721">
        <v>1980372.7299999967</v>
      </c>
      <c r="O23" s="1722"/>
      <c r="P23" s="1821">
        <f t="shared" si="0"/>
        <v>21175287.259999998</v>
      </c>
    </row>
    <row r="24" spans="1:16">
      <c r="A24" s="1721" t="s">
        <v>1422</v>
      </c>
      <c r="B24" s="1721">
        <v>499757.94999999995</v>
      </c>
      <c r="C24" s="1721"/>
      <c r="D24" s="1721">
        <v>474624.45</v>
      </c>
      <c r="E24" s="1721"/>
      <c r="F24" s="1721">
        <v>658463.57999999996</v>
      </c>
      <c r="G24" s="1721"/>
      <c r="H24" s="1721">
        <v>1007937.96</v>
      </c>
      <c r="I24" s="1721"/>
      <c r="J24" s="1721">
        <v>3861619</v>
      </c>
      <c r="K24" s="1721"/>
      <c r="L24" s="1721">
        <v>1074069.67</v>
      </c>
      <c r="M24" s="1721"/>
      <c r="N24" s="1721">
        <v>650995.11000000127</v>
      </c>
      <c r="O24" s="1722"/>
      <c r="P24" s="1821">
        <f t="shared" si="0"/>
        <v>8227467.7200000007</v>
      </c>
    </row>
    <row r="25" spans="1:16">
      <c r="A25" s="1721" t="s">
        <v>1423</v>
      </c>
      <c r="B25" s="1721">
        <v>299949.67</v>
      </c>
      <c r="C25" s="1721"/>
      <c r="D25" s="1721">
        <v>252567.52000000002</v>
      </c>
      <c r="E25" s="1721"/>
      <c r="F25" s="1721">
        <v>493088.18000000005</v>
      </c>
      <c r="G25" s="1721"/>
      <c r="H25" s="1721">
        <v>802030.97000000009</v>
      </c>
      <c r="I25" s="1721"/>
      <c r="J25" s="1721">
        <v>1714231.2599999998</v>
      </c>
      <c r="K25" s="1721"/>
      <c r="L25" s="1721">
        <v>809410.40999999992</v>
      </c>
      <c r="M25" s="1721"/>
      <c r="N25" s="1721">
        <v>933131.01000000071</v>
      </c>
      <c r="O25" s="1722"/>
      <c r="P25" s="1821">
        <f t="shared" si="0"/>
        <v>5304409.0200000005</v>
      </c>
    </row>
    <row r="26" spans="1:16">
      <c r="A26" s="1721" t="s">
        <v>1424</v>
      </c>
      <c r="B26" s="1721">
        <v>1605035.8000000003</v>
      </c>
      <c r="C26" s="1721"/>
      <c r="D26" s="1721">
        <v>1591400.6</v>
      </c>
      <c r="E26" s="1721"/>
      <c r="F26" s="1721">
        <v>3512815.84</v>
      </c>
      <c r="G26" s="1721"/>
      <c r="H26" s="1721">
        <v>4102490.2700000009</v>
      </c>
      <c r="I26" s="1721"/>
      <c r="J26" s="1721">
        <v>11894095.239999998</v>
      </c>
      <c r="K26" s="1721"/>
      <c r="L26" s="1721">
        <v>5141473.07</v>
      </c>
      <c r="M26" s="1721"/>
      <c r="N26" s="1721">
        <v>4828643.0799999945</v>
      </c>
      <c r="O26" s="1722"/>
      <c r="P26" s="1821">
        <f t="shared" si="0"/>
        <v>32675953.899999995</v>
      </c>
    </row>
    <row r="27" spans="1:16">
      <c r="A27" s="1721" t="s">
        <v>1425</v>
      </c>
      <c r="B27" s="1721">
        <v>-92.58</v>
      </c>
      <c r="C27" s="1721"/>
      <c r="D27" s="1721">
        <v>-82.73</v>
      </c>
      <c r="E27" s="1721"/>
      <c r="F27" s="1721">
        <v>-156.46</v>
      </c>
      <c r="G27" s="1721"/>
      <c r="H27" s="1721">
        <v>-251.64</v>
      </c>
      <c r="I27" s="1721"/>
      <c r="J27" s="1721">
        <v>-267.25000000000006</v>
      </c>
      <c r="K27" s="1721"/>
      <c r="L27" s="1721">
        <v>-255.41</v>
      </c>
      <c r="M27" s="1721"/>
      <c r="N27" s="1721">
        <v>-38.819999999999936</v>
      </c>
      <c r="O27" s="1722"/>
      <c r="P27" s="1821">
        <f t="shared" si="0"/>
        <v>-1144.8900000000001</v>
      </c>
    </row>
    <row r="28" spans="1:16" ht="14">
      <c r="A28" s="884"/>
      <c r="B28" s="1403"/>
      <c r="C28" s="1403"/>
      <c r="D28" s="1403"/>
      <c r="E28" s="1403"/>
      <c r="F28" s="1403"/>
      <c r="G28" s="1403"/>
      <c r="H28" s="1403"/>
      <c r="I28" s="1403"/>
      <c r="J28" s="1403"/>
      <c r="K28" s="1403"/>
      <c r="L28" s="1403"/>
      <c r="M28" s="1403"/>
      <c r="N28" s="1403"/>
      <c r="O28" s="1722"/>
      <c r="P28" s="1821">
        <f t="shared" si="0"/>
        <v>0</v>
      </c>
    </row>
    <row r="29" spans="1:16" ht="14.5" thickBot="1">
      <c r="A29" s="1490" t="s">
        <v>59</v>
      </c>
      <c r="B29" s="578">
        <f>SUM(B7:B28)</f>
        <v>115898296.13000003</v>
      </c>
      <c r="C29" s="578"/>
      <c r="D29" s="578">
        <f t="shared" ref="D29:P29" si="1">SUM(D7:D28)</f>
        <v>110610623.95999999</v>
      </c>
      <c r="E29" s="578"/>
      <c r="F29" s="578">
        <f t="shared" si="1"/>
        <v>170458864.91</v>
      </c>
      <c r="G29" s="578"/>
      <c r="H29" s="578">
        <f t="shared" si="1"/>
        <v>326162003.40999997</v>
      </c>
      <c r="I29" s="578"/>
      <c r="J29" s="578">
        <f t="shared" si="1"/>
        <v>632220535.93999982</v>
      </c>
      <c r="K29" s="578"/>
      <c r="L29" s="578">
        <f t="shared" si="1"/>
        <v>313827051.41000003</v>
      </c>
      <c r="M29" s="578"/>
      <c r="N29" s="578">
        <f t="shared" si="1"/>
        <v>146118696.27999994</v>
      </c>
      <c r="O29" s="578"/>
      <c r="P29" s="578">
        <f t="shared" si="1"/>
        <v>1815296072.04</v>
      </c>
    </row>
    <row r="30" spans="1:16" ht="15" thickTop="1">
      <c r="A30" s="572"/>
      <c r="B30" s="577"/>
      <c r="C30" s="573"/>
      <c r="D30" s="577"/>
      <c r="E30" s="577"/>
      <c r="F30" s="577"/>
      <c r="G30" s="577"/>
      <c r="H30" s="1403"/>
      <c r="I30" s="576"/>
      <c r="J30" s="574"/>
      <c r="K30" s="575"/>
    </row>
    <row r="31" spans="1:16" ht="14.5">
      <c r="A31" s="572"/>
      <c r="B31" s="1403"/>
      <c r="C31" s="573"/>
      <c r="D31" s="1403"/>
      <c r="E31" s="577"/>
      <c r="F31" s="1403"/>
      <c r="G31" s="577"/>
      <c r="H31" s="1403"/>
      <c r="I31" s="576"/>
      <c r="J31" s="574"/>
      <c r="K31" s="575"/>
    </row>
    <row r="32" spans="1:16" ht="14.5">
      <c r="A32" s="572"/>
      <c r="B32" s="577"/>
      <c r="C32" s="573"/>
      <c r="D32" s="577"/>
      <c r="E32" s="577"/>
      <c r="F32" s="577"/>
      <c r="G32" s="577"/>
      <c r="H32" s="1403"/>
      <c r="I32" s="576"/>
      <c r="J32" s="574"/>
      <c r="K32" s="575"/>
    </row>
    <row r="33" spans="1:12" ht="14.5">
      <c r="A33" s="572"/>
      <c r="B33" s="1403"/>
      <c r="C33" s="573"/>
      <c r="D33" s="1403"/>
      <c r="E33" s="577"/>
      <c r="F33" s="1403"/>
      <c r="G33" s="577"/>
      <c r="H33" s="1403"/>
      <c r="I33" s="576"/>
      <c r="J33" s="574"/>
      <c r="K33" s="575"/>
    </row>
    <row r="34" spans="1:12" ht="14.5">
      <c r="A34" s="572"/>
      <c r="B34" s="577"/>
      <c r="C34" s="573"/>
      <c r="D34" s="577"/>
      <c r="E34" s="577"/>
      <c r="F34" s="577"/>
      <c r="G34" s="577"/>
      <c r="H34" s="1403"/>
      <c r="I34" s="576"/>
      <c r="J34" s="574"/>
      <c r="K34" s="575"/>
    </row>
    <row r="35" spans="1:12" ht="14.5">
      <c r="A35" s="572"/>
      <c r="B35" s="1403"/>
      <c r="C35" s="573"/>
      <c r="D35" s="1403"/>
      <c r="E35" s="577"/>
      <c r="F35" s="1403"/>
      <c r="G35" s="577"/>
      <c r="H35" s="1403"/>
      <c r="I35" s="576"/>
      <c r="J35" s="574"/>
      <c r="K35" s="575"/>
    </row>
    <row r="36" spans="1:12" ht="14.5">
      <c r="A36" s="572"/>
      <c r="B36" s="577"/>
      <c r="C36" s="573"/>
      <c r="D36" s="577"/>
      <c r="E36" s="577"/>
      <c r="F36" s="577"/>
      <c r="G36" s="577"/>
      <c r="H36" s="1403"/>
      <c r="I36" s="576"/>
      <c r="J36" s="574"/>
      <c r="K36" s="575"/>
    </row>
    <row r="37" spans="1:12" ht="14.5">
      <c r="A37" s="572"/>
      <c r="B37" s="1403"/>
      <c r="C37" s="573"/>
      <c r="D37" s="1403"/>
      <c r="E37" s="577"/>
      <c r="F37" s="1403"/>
      <c r="G37" s="577"/>
      <c r="H37" s="1403"/>
      <c r="I37" s="576"/>
      <c r="J37" s="574"/>
      <c r="K37" s="575"/>
    </row>
    <row r="38" spans="1:12" ht="14.5">
      <c r="A38" s="572"/>
      <c r="B38" s="577"/>
      <c r="C38" s="573"/>
      <c r="D38" s="577"/>
      <c r="E38" s="577"/>
      <c r="F38" s="577"/>
      <c r="G38" s="577"/>
      <c r="H38" s="1410"/>
      <c r="I38" s="576"/>
      <c r="J38" s="574"/>
      <c r="K38" s="575"/>
    </row>
    <row r="39" spans="1:12" ht="14.5">
      <c r="A39" s="1052"/>
      <c r="B39" s="1052"/>
      <c r="C39" s="1052"/>
      <c r="D39" s="1052"/>
      <c r="E39" s="1052"/>
      <c r="F39" s="1052"/>
      <c r="G39" s="1052"/>
      <c r="H39" s="1052"/>
      <c r="I39" s="1052"/>
      <c r="J39" s="1052"/>
      <c r="K39" s="1052"/>
      <c r="L39" s="1052"/>
    </row>
    <row r="40" spans="1:12" ht="14.5">
      <c r="A40" s="1052"/>
      <c r="B40" s="1052"/>
      <c r="C40" s="1052"/>
      <c r="D40" s="1052"/>
      <c r="E40" s="1052"/>
      <c r="F40" s="1052"/>
      <c r="G40" s="1052"/>
      <c r="H40" s="1052"/>
      <c r="I40" s="1052"/>
      <c r="J40" s="1052"/>
      <c r="K40" s="1052"/>
      <c r="L40" s="1052"/>
    </row>
    <row r="41" spans="1:12" ht="14.5">
      <c r="A41" s="1052"/>
      <c r="B41" s="1052"/>
      <c r="C41" s="1052"/>
      <c r="D41" s="1052"/>
      <c r="E41" s="1052"/>
      <c r="F41" s="1052"/>
      <c r="G41" s="1052"/>
      <c r="H41" s="1052"/>
      <c r="I41" s="1052"/>
      <c r="J41" s="1052"/>
      <c r="K41" s="1052"/>
      <c r="L41" s="1052"/>
    </row>
    <row r="42" spans="1:12" ht="14.5">
      <c r="A42" s="1052"/>
      <c r="B42" s="1052"/>
      <c r="C42" s="1052"/>
      <c r="D42" s="1052"/>
      <c r="E42" s="1052"/>
      <c r="F42" s="1052"/>
      <c r="G42" s="1052"/>
      <c r="H42" s="1052"/>
      <c r="I42" s="1052"/>
      <c r="J42" s="1052"/>
      <c r="K42" s="1052"/>
      <c r="L42" s="1052"/>
    </row>
    <row r="43" spans="1:12">
      <c r="B43" s="1405"/>
      <c r="C43" s="1405"/>
      <c r="D43" s="1405"/>
      <c r="E43" s="1405"/>
      <c r="F43" s="1405"/>
      <c r="G43" s="1405"/>
      <c r="H43" s="1406"/>
      <c r="I43" s="1406"/>
      <c r="J43" s="1405"/>
    </row>
    <row r="44" spans="1:12">
      <c r="B44" s="1405"/>
      <c r="C44" s="1405"/>
      <c r="D44" s="1405"/>
      <c r="E44" s="1405"/>
      <c r="F44" s="1405"/>
      <c r="G44" s="1405"/>
      <c r="H44" s="1406"/>
      <c r="I44" s="1406"/>
      <c r="J44" s="1405"/>
    </row>
    <row r="45" spans="1:12">
      <c r="B45" s="1405"/>
      <c r="C45" s="1405"/>
      <c r="D45" s="1405"/>
      <c r="E45" s="1405"/>
      <c r="F45" s="1405"/>
      <c r="G45" s="1405"/>
      <c r="H45" s="1406"/>
      <c r="I45" s="1406"/>
      <c r="J45" s="1405"/>
    </row>
    <row r="46" spans="1:12">
      <c r="B46" s="1405"/>
      <c r="C46" s="1405"/>
      <c r="D46" s="1405"/>
      <c r="E46" s="1405"/>
      <c r="F46" s="1405"/>
      <c r="G46" s="1405"/>
      <c r="H46" s="1406"/>
      <c r="I46" s="1406"/>
      <c r="J46" s="1405"/>
    </row>
    <row r="47" spans="1:12">
      <c r="B47" s="1405"/>
      <c r="C47" s="1405"/>
      <c r="D47" s="1405"/>
      <c r="E47" s="1405"/>
      <c r="F47" s="1405"/>
      <c r="G47" s="1405"/>
      <c r="H47" s="1406"/>
      <c r="I47" s="1406"/>
      <c r="J47" s="1405"/>
    </row>
    <row r="48" spans="1:12">
      <c r="B48" s="1405"/>
      <c r="C48" s="1405"/>
      <c r="D48" s="1405"/>
      <c r="E48" s="1405"/>
      <c r="F48" s="1405"/>
      <c r="G48" s="1405"/>
      <c r="H48" s="1406"/>
      <c r="I48" s="1406"/>
      <c r="J48" s="1405"/>
    </row>
    <row r="49" spans="2:10">
      <c r="B49" s="1405"/>
      <c r="C49" s="1405"/>
      <c r="D49" s="1405"/>
      <c r="E49" s="1405"/>
      <c r="F49" s="1405"/>
      <c r="G49" s="1405"/>
      <c r="H49" s="1406"/>
      <c r="I49" s="1406"/>
      <c r="J49" s="1405"/>
    </row>
    <row r="50" spans="2:10">
      <c r="B50" s="1405"/>
      <c r="C50" s="1405"/>
      <c r="D50" s="1405"/>
      <c r="E50" s="1405"/>
      <c r="F50" s="1405"/>
      <c r="G50" s="1405"/>
      <c r="H50" s="1406"/>
      <c r="I50" s="1406"/>
      <c r="J50" s="1405"/>
    </row>
    <row r="51" spans="2:10">
      <c r="B51" s="1405"/>
      <c r="C51" s="1405"/>
      <c r="D51" s="1405"/>
      <c r="E51" s="1405"/>
      <c r="F51" s="1405"/>
      <c r="G51" s="1405"/>
      <c r="H51" s="1406"/>
      <c r="I51" s="1406"/>
      <c r="J51" s="1405"/>
    </row>
    <row r="52" spans="2:10">
      <c r="B52" s="1405"/>
      <c r="C52" s="1405"/>
      <c r="D52" s="1405"/>
      <c r="E52" s="1405"/>
      <c r="F52" s="1405"/>
      <c r="G52" s="1405"/>
      <c r="H52" s="1406"/>
      <c r="I52" s="1406"/>
      <c r="J52" s="1405"/>
    </row>
    <row r="53" spans="2:10">
      <c r="B53" s="1405"/>
      <c r="C53" s="1405"/>
      <c r="D53" s="1405"/>
      <c r="E53" s="1405"/>
      <c r="F53" s="1405"/>
      <c r="G53" s="1405"/>
      <c r="H53" s="1406"/>
      <c r="I53" s="1406"/>
      <c r="J53" s="1405"/>
    </row>
    <row r="54" spans="2:10">
      <c r="B54" s="1405"/>
      <c r="C54" s="1405"/>
      <c r="D54" s="1405"/>
      <c r="E54" s="1405"/>
      <c r="F54" s="1405"/>
      <c r="G54" s="1405"/>
      <c r="H54" s="1406"/>
      <c r="I54" s="1406"/>
      <c r="J54" s="1405"/>
    </row>
    <row r="55" spans="2:10">
      <c r="B55" s="1405"/>
      <c r="C55" s="1405"/>
      <c r="D55" s="1405"/>
      <c r="E55" s="1405"/>
      <c r="F55" s="1405"/>
      <c r="G55" s="1405"/>
      <c r="H55" s="1406"/>
      <c r="I55" s="1406"/>
      <c r="J55" s="1405"/>
    </row>
    <row r="56" spans="2:10">
      <c r="B56" s="1405"/>
      <c r="C56" s="1405"/>
      <c r="D56" s="1405"/>
      <c r="E56" s="1405"/>
      <c r="F56" s="1405"/>
      <c r="G56" s="1405"/>
      <c r="H56" s="1406"/>
      <c r="I56" s="1406"/>
      <c r="J56" s="1405"/>
    </row>
    <row r="57" spans="2:10">
      <c r="B57" s="1405"/>
      <c r="C57" s="1405"/>
      <c r="D57" s="1405"/>
      <c r="E57" s="1405"/>
      <c r="F57" s="1405"/>
      <c r="G57" s="1405"/>
      <c r="H57" s="1406"/>
      <c r="I57" s="1406"/>
      <c r="J57" s="1405"/>
    </row>
    <row r="58" spans="2:10">
      <c r="B58" s="1405"/>
      <c r="C58" s="1405"/>
      <c r="D58" s="1405"/>
      <c r="E58" s="1405"/>
      <c r="F58" s="1405"/>
      <c r="G58" s="1405"/>
      <c r="H58" s="1406"/>
      <c r="I58" s="1406"/>
      <c r="J58" s="1405"/>
    </row>
    <row r="59" spans="2:10">
      <c r="B59" s="1405"/>
      <c r="C59" s="1405"/>
      <c r="D59" s="1405"/>
      <c r="E59" s="1405"/>
      <c r="F59" s="1405"/>
      <c r="G59" s="1405"/>
      <c r="H59" s="1406"/>
      <c r="I59" s="1406"/>
      <c r="J59" s="1405"/>
    </row>
    <row r="60" spans="2:10">
      <c r="B60" s="1405"/>
      <c r="C60" s="1405"/>
      <c r="D60" s="1405"/>
      <c r="E60" s="1405"/>
      <c r="F60" s="1405"/>
      <c r="G60" s="1405"/>
      <c r="H60" s="1406"/>
      <c r="I60" s="1406"/>
      <c r="J60" s="1405"/>
    </row>
    <row r="61" spans="2:10">
      <c r="B61" s="1405"/>
      <c r="C61" s="1405"/>
      <c r="D61" s="1405"/>
      <c r="E61" s="1405"/>
      <c r="F61" s="1405"/>
      <c r="G61" s="1405"/>
      <c r="H61" s="1406"/>
      <c r="I61" s="1406"/>
      <c r="J61" s="1405"/>
    </row>
    <row r="62" spans="2:10">
      <c r="B62" s="1405"/>
      <c r="C62" s="1405"/>
      <c r="D62" s="1405"/>
      <c r="E62" s="1405"/>
      <c r="F62" s="1405"/>
      <c r="G62" s="1405"/>
      <c r="H62" s="1406"/>
      <c r="I62" s="1406"/>
      <c r="J62" s="1405"/>
    </row>
    <row r="63" spans="2:10">
      <c r="B63" s="1405"/>
      <c r="C63" s="1405"/>
      <c r="D63" s="1405"/>
      <c r="E63" s="1405"/>
      <c r="F63" s="1405"/>
      <c r="G63" s="1405"/>
      <c r="H63" s="1406"/>
      <c r="I63" s="1406"/>
      <c r="J63" s="1405"/>
    </row>
    <row r="64" spans="2:10">
      <c r="B64" s="1405"/>
      <c r="C64" s="1405"/>
      <c r="D64" s="1405"/>
      <c r="E64" s="1405"/>
      <c r="F64" s="1405"/>
      <c r="G64" s="1405"/>
      <c r="H64" s="1406"/>
      <c r="I64" s="1406"/>
      <c r="J64" s="1405"/>
    </row>
    <row r="65" spans="2:10">
      <c r="B65" s="1405"/>
      <c r="C65" s="1405"/>
      <c r="D65" s="1405"/>
      <c r="E65" s="1405"/>
      <c r="F65" s="1405"/>
      <c r="G65" s="1405"/>
      <c r="H65" s="1406"/>
      <c r="I65" s="1406"/>
      <c r="J65" s="1405"/>
    </row>
    <row r="66" spans="2:10">
      <c r="B66" s="1405"/>
      <c r="C66" s="1405"/>
      <c r="D66" s="1405"/>
      <c r="E66" s="1405"/>
      <c r="F66" s="1405"/>
      <c r="G66" s="1405"/>
      <c r="H66" s="1406"/>
      <c r="I66" s="1406"/>
      <c r="J66" s="1405"/>
    </row>
    <row r="67" spans="2:10">
      <c r="B67" s="1405"/>
      <c r="C67" s="1405"/>
      <c r="D67" s="1405"/>
      <c r="E67" s="1405"/>
      <c r="F67" s="1405"/>
      <c r="G67" s="1405"/>
      <c r="H67" s="1406"/>
      <c r="I67" s="1406"/>
      <c r="J67" s="1405"/>
    </row>
    <row r="68" spans="2:10">
      <c r="B68" s="1405"/>
      <c r="C68" s="1405"/>
      <c r="D68" s="1405"/>
      <c r="E68" s="1405"/>
      <c r="F68" s="1405"/>
      <c r="G68" s="1405"/>
      <c r="H68" s="1406"/>
      <c r="I68" s="1406"/>
      <c r="J68" s="1405"/>
    </row>
    <row r="69" spans="2:10">
      <c r="B69" s="1405"/>
      <c r="C69" s="1405"/>
      <c r="D69" s="1405"/>
      <c r="E69" s="1405"/>
      <c r="F69" s="1405"/>
      <c r="G69" s="1405"/>
      <c r="H69" s="1406"/>
      <c r="I69" s="1406"/>
      <c r="J69" s="1405"/>
    </row>
    <row r="70" spans="2:10">
      <c r="B70" s="1405"/>
      <c r="C70" s="1405"/>
      <c r="D70" s="1405"/>
      <c r="E70" s="1405"/>
      <c r="F70" s="1405"/>
      <c r="G70" s="1405"/>
      <c r="H70" s="1406"/>
      <c r="I70" s="1406"/>
      <c r="J70" s="1405"/>
    </row>
    <row r="71" spans="2:10">
      <c r="B71" s="1405"/>
      <c r="C71" s="1405"/>
      <c r="D71" s="1405"/>
      <c r="E71" s="1405"/>
      <c r="F71" s="1405"/>
      <c r="G71" s="1405"/>
      <c r="H71" s="1406"/>
      <c r="I71" s="1406"/>
      <c r="J71" s="1405"/>
    </row>
    <row r="72" spans="2:10">
      <c r="B72" s="1405"/>
      <c r="C72" s="1405"/>
      <c r="D72" s="1405"/>
      <c r="E72" s="1405"/>
      <c r="F72" s="1405"/>
      <c r="G72" s="1405"/>
      <c r="H72" s="1406"/>
      <c r="I72" s="1406"/>
      <c r="J72" s="1405"/>
    </row>
    <row r="73" spans="2:10">
      <c r="B73" s="1405"/>
      <c r="C73" s="1405"/>
      <c r="D73" s="1405"/>
      <c r="E73" s="1405"/>
      <c r="F73" s="1405"/>
      <c r="G73" s="1405"/>
      <c r="H73" s="1406"/>
      <c r="I73" s="1406"/>
      <c r="J73" s="1405"/>
    </row>
    <row r="74" spans="2:10">
      <c r="B74" s="1405"/>
      <c r="C74" s="1405"/>
      <c r="D74" s="1405"/>
      <c r="E74" s="1405"/>
      <c r="F74" s="1405"/>
      <c r="G74" s="1405"/>
      <c r="H74" s="1406"/>
      <c r="I74" s="1406"/>
      <c r="J74" s="1405"/>
    </row>
    <row r="75" spans="2:10">
      <c r="B75" s="1405"/>
      <c r="C75" s="1405"/>
      <c r="D75" s="1405"/>
      <c r="E75" s="1405"/>
      <c r="F75" s="1405"/>
      <c r="G75" s="1405"/>
      <c r="H75" s="1406"/>
      <c r="I75" s="1406"/>
      <c r="J75" s="1405"/>
    </row>
    <row r="76" spans="2:10">
      <c r="B76" s="1405"/>
      <c r="C76" s="1405"/>
      <c r="D76" s="1405"/>
      <c r="E76" s="1405"/>
      <c r="F76" s="1405"/>
      <c r="G76" s="1405"/>
      <c r="H76" s="1406"/>
      <c r="I76" s="1406"/>
      <c r="J76" s="1405"/>
    </row>
    <row r="77" spans="2:10">
      <c r="B77" s="1405"/>
      <c r="C77" s="1405"/>
      <c r="D77" s="1405"/>
      <c r="E77" s="1405"/>
      <c r="F77" s="1405"/>
      <c r="G77" s="1405"/>
      <c r="H77" s="1406"/>
      <c r="I77" s="1406"/>
      <c r="J77" s="1405"/>
    </row>
    <row r="78" spans="2:10">
      <c r="B78" s="1405"/>
      <c r="C78" s="1405"/>
      <c r="D78" s="1405"/>
      <c r="E78" s="1405"/>
      <c r="F78" s="1405"/>
      <c r="G78" s="1405"/>
      <c r="H78" s="1406"/>
      <c r="I78" s="1406"/>
      <c r="J78" s="1405"/>
    </row>
    <row r="79" spans="2:10">
      <c r="B79" s="1405"/>
      <c r="C79" s="1405"/>
      <c r="D79" s="1405"/>
      <c r="E79" s="1405"/>
      <c r="F79" s="1405"/>
      <c r="G79" s="1405"/>
      <c r="H79" s="1406"/>
      <c r="I79" s="1406"/>
      <c r="J79" s="1405"/>
    </row>
    <row r="80" spans="2:10">
      <c r="B80" s="1405"/>
      <c r="C80" s="1405"/>
      <c r="D80" s="1405"/>
      <c r="E80" s="1405"/>
      <c r="F80" s="1405"/>
      <c r="G80" s="1405"/>
      <c r="H80" s="1406"/>
      <c r="I80" s="1406"/>
      <c r="J80" s="1405"/>
    </row>
    <row r="81" spans="2:10">
      <c r="B81" s="1405"/>
      <c r="C81" s="1405"/>
      <c r="D81" s="1405"/>
      <c r="E81" s="1405"/>
      <c r="F81" s="1405"/>
      <c r="G81" s="1405"/>
      <c r="H81" s="1406"/>
      <c r="I81" s="1406"/>
      <c r="J81" s="1405"/>
    </row>
    <row r="82" spans="2:10">
      <c r="B82" s="1405"/>
      <c r="C82" s="1405"/>
      <c r="D82" s="1405"/>
      <c r="E82" s="1405"/>
      <c r="F82" s="1405"/>
      <c r="G82" s="1405"/>
      <c r="H82" s="1406"/>
      <c r="I82" s="1406"/>
      <c r="J82" s="1405"/>
    </row>
    <row r="83" spans="2:10">
      <c r="B83" s="1405"/>
      <c r="C83" s="1405"/>
      <c r="D83" s="1405"/>
      <c r="E83" s="1405"/>
      <c r="F83" s="1405"/>
      <c r="G83" s="1405"/>
      <c r="H83" s="1406"/>
      <c r="I83" s="1406"/>
      <c r="J83" s="1405"/>
    </row>
    <row r="84" spans="2:10">
      <c r="B84" s="1405"/>
      <c r="C84" s="1405"/>
      <c r="D84" s="1405"/>
      <c r="E84" s="1405"/>
      <c r="F84" s="1405"/>
      <c r="G84" s="1405"/>
      <c r="H84" s="1406"/>
      <c r="I84" s="1406"/>
      <c r="J84" s="1405"/>
    </row>
    <row r="85" spans="2:10">
      <c r="B85" s="1405"/>
      <c r="C85" s="1405"/>
      <c r="D85" s="1405"/>
      <c r="E85" s="1405"/>
      <c r="F85" s="1405"/>
      <c r="G85" s="1405"/>
      <c r="H85" s="1406"/>
      <c r="I85" s="1406"/>
      <c r="J85" s="1405"/>
    </row>
    <row r="86" spans="2:10">
      <c r="B86" s="1405"/>
      <c r="C86" s="1405"/>
      <c r="D86" s="1405"/>
      <c r="E86" s="1405"/>
      <c r="F86" s="1405"/>
      <c r="G86" s="1405"/>
      <c r="H86" s="1406"/>
      <c r="I86" s="1406"/>
      <c r="J86" s="1405"/>
    </row>
    <row r="87" spans="2:10">
      <c r="B87" s="1405"/>
      <c r="C87" s="1405"/>
      <c r="D87" s="1405"/>
      <c r="E87" s="1405"/>
      <c r="F87" s="1405"/>
      <c r="G87" s="1405"/>
      <c r="H87" s="1406"/>
      <c r="I87" s="1406"/>
      <c r="J87" s="1405"/>
    </row>
    <row r="88" spans="2:10">
      <c r="B88" s="1405"/>
      <c r="C88" s="1405"/>
      <c r="D88" s="1405"/>
      <c r="E88" s="1405"/>
      <c r="F88" s="1405"/>
      <c r="G88" s="1405"/>
      <c r="H88" s="1406"/>
      <c r="I88" s="1406"/>
      <c r="J88" s="1405"/>
    </row>
    <row r="89" spans="2:10">
      <c r="B89" s="1405"/>
      <c r="C89" s="1405"/>
      <c r="D89" s="1405"/>
      <c r="E89" s="1405"/>
      <c r="F89" s="1405"/>
      <c r="G89" s="1405"/>
      <c r="H89" s="1406"/>
      <c r="I89" s="1406"/>
      <c r="J89" s="1405"/>
    </row>
    <row r="90" spans="2:10">
      <c r="B90" s="1405"/>
      <c r="C90" s="1405"/>
      <c r="D90" s="1405"/>
      <c r="E90" s="1405"/>
      <c r="F90" s="1405"/>
      <c r="G90" s="1405"/>
      <c r="H90" s="1406"/>
      <c r="I90" s="1406"/>
      <c r="J90" s="1405"/>
    </row>
    <row r="91" spans="2:10">
      <c r="B91" s="1405"/>
      <c r="C91" s="1405"/>
      <c r="D91" s="1405"/>
      <c r="E91" s="1405"/>
      <c r="F91" s="1405"/>
      <c r="G91" s="1405"/>
      <c r="H91" s="1406"/>
      <c r="I91" s="1406"/>
      <c r="J91" s="1405"/>
    </row>
    <row r="92" spans="2:10">
      <c r="B92" s="1405"/>
      <c r="C92" s="1405"/>
      <c r="D92" s="1405"/>
      <c r="E92" s="1405"/>
      <c r="F92" s="1405"/>
      <c r="G92" s="1405"/>
      <c r="H92" s="1406"/>
      <c r="I92" s="1406"/>
      <c r="J92" s="1405"/>
    </row>
    <row r="93" spans="2:10">
      <c r="B93" s="1405"/>
      <c r="C93" s="1405"/>
      <c r="D93" s="1405"/>
      <c r="E93" s="1405"/>
      <c r="F93" s="1405"/>
      <c r="G93" s="1405"/>
      <c r="H93" s="1406"/>
      <c r="I93" s="1406"/>
      <c r="J93" s="1405"/>
    </row>
    <row r="94" spans="2:10">
      <c r="B94" s="1405"/>
      <c r="C94" s="1405"/>
      <c r="D94" s="1405"/>
      <c r="E94" s="1405"/>
      <c r="F94" s="1405"/>
      <c r="G94" s="1405"/>
      <c r="H94" s="1406"/>
      <c r="I94" s="1406"/>
      <c r="J94" s="1405"/>
    </row>
    <row r="95" spans="2:10">
      <c r="B95" s="1405"/>
      <c r="C95" s="1405"/>
      <c r="D95" s="1405"/>
      <c r="E95" s="1405"/>
      <c r="F95" s="1405"/>
      <c r="G95" s="1405"/>
      <c r="H95" s="1406"/>
      <c r="I95" s="1406"/>
      <c r="J95" s="1405"/>
    </row>
    <row r="96" spans="2:10">
      <c r="B96" s="1405"/>
      <c r="C96" s="1405"/>
      <c r="D96" s="1405"/>
      <c r="E96" s="1405"/>
      <c r="F96" s="1405"/>
      <c r="G96" s="1405"/>
      <c r="H96" s="1406"/>
      <c r="I96" s="1406"/>
      <c r="J96" s="1405"/>
    </row>
    <row r="97" spans="2:10">
      <c r="B97" s="1405"/>
      <c r="C97" s="1405"/>
      <c r="D97" s="1405"/>
      <c r="E97" s="1405"/>
      <c r="F97" s="1405"/>
      <c r="G97" s="1405"/>
      <c r="H97" s="1406"/>
      <c r="I97" s="1406"/>
      <c r="J97" s="1405"/>
    </row>
    <row r="98" spans="2:10">
      <c r="B98" s="1405"/>
      <c r="C98" s="1405"/>
      <c r="D98" s="1405"/>
      <c r="E98" s="1405"/>
      <c r="F98" s="1405"/>
      <c r="G98" s="1405"/>
      <c r="H98" s="1406"/>
      <c r="I98" s="1406"/>
      <c r="J98" s="1405"/>
    </row>
    <row r="99" spans="2:10">
      <c r="B99" s="1405"/>
      <c r="C99" s="1405"/>
      <c r="D99" s="1405"/>
      <c r="E99" s="1405"/>
      <c r="F99" s="1405"/>
      <c r="G99" s="1405"/>
      <c r="H99" s="1406"/>
      <c r="I99" s="1406"/>
      <c r="J99" s="1405"/>
    </row>
    <row r="100" spans="2:10">
      <c r="B100" s="1405"/>
      <c r="C100" s="1405"/>
      <c r="D100" s="1405"/>
      <c r="E100" s="1405"/>
      <c r="F100" s="1405"/>
      <c r="G100" s="1405"/>
      <c r="H100" s="1406"/>
      <c r="I100" s="1406"/>
      <c r="J100" s="1405"/>
    </row>
    <row r="101" spans="2:10">
      <c r="B101" s="1405"/>
      <c r="C101" s="1405"/>
      <c r="D101" s="1405"/>
      <c r="E101" s="1405"/>
      <c r="F101" s="1405"/>
      <c r="G101" s="1405"/>
      <c r="H101" s="1406"/>
      <c r="I101" s="1406"/>
      <c r="J101" s="1405"/>
    </row>
    <row r="102" spans="2:10">
      <c r="B102" s="1405"/>
      <c r="C102" s="1405"/>
      <c r="D102" s="1405"/>
      <c r="E102" s="1405"/>
      <c r="F102" s="1405"/>
      <c r="G102" s="1405"/>
      <c r="H102" s="1406"/>
      <c r="I102" s="1406"/>
      <c r="J102" s="1405"/>
    </row>
    <row r="103" spans="2:10">
      <c r="B103" s="1405"/>
      <c r="C103" s="1405"/>
      <c r="D103" s="1405"/>
      <c r="E103" s="1405"/>
      <c r="F103" s="1405"/>
      <c r="G103" s="1405"/>
      <c r="H103" s="1406"/>
      <c r="I103" s="1406"/>
      <c r="J103" s="1405"/>
    </row>
    <row r="104" spans="2:10">
      <c r="B104" s="1405"/>
      <c r="C104" s="1405"/>
      <c r="D104" s="1405"/>
      <c r="E104" s="1405"/>
      <c r="F104" s="1405"/>
      <c r="G104" s="1405"/>
      <c r="H104" s="1406"/>
      <c r="I104" s="1406"/>
      <c r="J104" s="1405"/>
    </row>
    <row r="105" spans="2:10">
      <c r="B105" s="1405"/>
      <c r="C105" s="1405"/>
      <c r="D105" s="1405"/>
      <c r="E105" s="1405"/>
      <c r="F105" s="1405"/>
      <c r="G105" s="1405"/>
      <c r="H105" s="1406"/>
      <c r="I105" s="1406"/>
      <c r="J105" s="1405"/>
    </row>
    <row r="106" spans="2:10">
      <c r="B106" s="1405"/>
      <c r="C106" s="1405"/>
      <c r="D106" s="1405"/>
      <c r="E106" s="1405"/>
      <c r="F106" s="1405"/>
      <c r="G106" s="1405"/>
      <c r="H106" s="1406"/>
      <c r="I106" s="1406"/>
      <c r="J106" s="1405"/>
    </row>
    <row r="107" spans="2:10">
      <c r="B107" s="1405"/>
      <c r="C107" s="1405"/>
      <c r="D107" s="1405"/>
      <c r="E107" s="1405"/>
      <c r="F107" s="1405"/>
      <c r="G107" s="1405"/>
      <c r="H107" s="1406"/>
      <c r="I107" s="1406"/>
      <c r="J107" s="1405"/>
    </row>
    <row r="108" spans="2:10">
      <c r="B108" s="1405"/>
      <c r="C108" s="1405"/>
      <c r="D108" s="1405"/>
      <c r="E108" s="1405"/>
      <c r="F108" s="1405"/>
      <c r="G108" s="1405"/>
      <c r="H108" s="1406"/>
      <c r="I108" s="1406"/>
      <c r="J108" s="1405"/>
    </row>
    <row r="109" spans="2:10">
      <c r="B109" s="1405"/>
      <c r="C109" s="1405"/>
      <c r="D109" s="1405"/>
      <c r="E109" s="1405"/>
      <c r="F109" s="1405"/>
      <c r="G109" s="1405"/>
      <c r="H109" s="1406"/>
      <c r="I109" s="1406"/>
      <c r="J109" s="1405"/>
    </row>
    <row r="110" spans="2:10">
      <c r="B110" s="1405"/>
      <c r="C110" s="1405"/>
      <c r="D110" s="1405"/>
      <c r="E110" s="1405"/>
      <c r="F110" s="1405"/>
      <c r="G110" s="1405"/>
      <c r="H110" s="1406"/>
      <c r="I110" s="1406"/>
      <c r="J110" s="1405"/>
    </row>
    <row r="111" spans="2:10">
      <c r="B111" s="1405"/>
      <c r="C111" s="1405"/>
      <c r="D111" s="1405"/>
      <c r="E111" s="1405"/>
      <c r="F111" s="1405"/>
      <c r="G111" s="1405"/>
      <c r="H111" s="1406"/>
      <c r="I111" s="1406"/>
      <c r="J111" s="1405"/>
    </row>
    <row r="112" spans="2:10">
      <c r="B112" s="1405"/>
      <c r="C112" s="1405"/>
      <c r="D112" s="1405"/>
      <c r="E112" s="1405"/>
      <c r="F112" s="1405"/>
      <c r="G112" s="1405"/>
      <c r="H112" s="1406"/>
      <c r="I112" s="1406"/>
      <c r="J112" s="1405"/>
    </row>
    <row r="113" spans="2:10">
      <c r="B113" s="1405"/>
      <c r="C113" s="1405"/>
      <c r="D113" s="1405"/>
      <c r="E113" s="1405"/>
      <c r="F113" s="1405"/>
      <c r="G113" s="1405"/>
      <c r="H113" s="1406"/>
      <c r="I113" s="1406"/>
      <c r="J113" s="1405"/>
    </row>
    <row r="114" spans="2:10">
      <c r="B114" s="1405"/>
      <c r="C114" s="1405"/>
      <c r="D114" s="1405"/>
      <c r="E114" s="1405"/>
      <c r="F114" s="1405"/>
      <c r="G114" s="1405"/>
      <c r="H114" s="1406"/>
      <c r="I114" s="1406"/>
      <c r="J114" s="1405"/>
    </row>
    <row r="115" spans="2:10">
      <c r="B115" s="1405"/>
      <c r="C115" s="1405"/>
      <c r="D115" s="1405"/>
      <c r="E115" s="1405"/>
      <c r="F115" s="1405"/>
      <c r="G115" s="1405"/>
      <c r="H115" s="1406"/>
      <c r="I115" s="1406"/>
      <c r="J115" s="1405"/>
    </row>
    <row r="116" spans="2:10">
      <c r="B116" s="1405"/>
      <c r="C116" s="1405"/>
      <c r="D116" s="1405"/>
      <c r="E116" s="1405"/>
      <c r="F116" s="1405"/>
      <c r="G116" s="1405"/>
      <c r="H116" s="1406"/>
      <c r="I116" s="1406"/>
      <c r="J116" s="1405"/>
    </row>
    <row r="117" spans="2:10">
      <c r="B117" s="1405"/>
      <c r="C117" s="1405"/>
      <c r="D117" s="1405"/>
      <c r="E117" s="1405"/>
      <c r="F117" s="1405"/>
      <c r="G117" s="1405"/>
      <c r="H117" s="1406"/>
      <c r="I117" s="1406"/>
      <c r="J117" s="1405"/>
    </row>
    <row r="118" spans="2:10">
      <c r="B118" s="1405"/>
      <c r="C118" s="1405"/>
      <c r="D118" s="1405"/>
      <c r="E118" s="1405"/>
      <c r="F118" s="1405"/>
      <c r="G118" s="1405"/>
      <c r="H118" s="1406"/>
      <c r="I118" s="1406"/>
      <c r="J118" s="1405"/>
    </row>
    <row r="119" spans="2:10">
      <c r="B119" s="1405"/>
      <c r="C119" s="1405"/>
      <c r="D119" s="1405"/>
      <c r="E119" s="1405"/>
      <c r="F119" s="1405"/>
      <c r="G119" s="1405"/>
      <c r="H119" s="1406"/>
      <c r="I119" s="1406"/>
      <c r="J119" s="1405"/>
    </row>
    <row r="120" spans="2:10">
      <c r="B120" s="1405"/>
      <c r="C120" s="1405"/>
      <c r="D120" s="1405"/>
      <c r="E120" s="1405"/>
      <c r="F120" s="1405"/>
      <c r="G120" s="1405"/>
      <c r="H120" s="1406"/>
      <c r="I120" s="1406"/>
      <c r="J120" s="1405"/>
    </row>
    <row r="121" spans="2:10">
      <c r="B121" s="1405"/>
      <c r="C121" s="1405"/>
      <c r="D121" s="1405"/>
      <c r="E121" s="1405"/>
      <c r="F121" s="1405"/>
      <c r="G121" s="1405"/>
      <c r="H121" s="1406"/>
      <c r="I121" s="1406"/>
      <c r="J121" s="1405"/>
    </row>
    <row r="122" spans="2:10">
      <c r="B122" s="1405"/>
      <c r="C122" s="1405"/>
      <c r="D122" s="1405"/>
      <c r="E122" s="1405"/>
      <c r="F122" s="1405"/>
      <c r="G122" s="1405"/>
      <c r="H122" s="1406"/>
      <c r="I122" s="1406"/>
      <c r="J122" s="1405"/>
    </row>
    <row r="123" spans="2:10">
      <c r="B123" s="1405"/>
      <c r="C123" s="1405"/>
      <c r="D123" s="1405"/>
      <c r="E123" s="1405"/>
      <c r="F123" s="1405"/>
      <c r="G123" s="1405"/>
      <c r="H123" s="1406"/>
      <c r="I123" s="1406"/>
      <c r="J123" s="1405"/>
    </row>
    <row r="124" spans="2:10">
      <c r="B124" s="1405"/>
      <c r="C124" s="1405"/>
      <c r="D124" s="1405"/>
      <c r="E124" s="1405"/>
      <c r="F124" s="1405"/>
      <c r="G124" s="1405"/>
      <c r="H124" s="1406"/>
      <c r="I124" s="1406"/>
      <c r="J124" s="1405"/>
    </row>
    <row r="125" spans="2:10">
      <c r="B125" s="1405"/>
      <c r="C125" s="1405"/>
      <c r="D125" s="1405"/>
      <c r="E125" s="1405"/>
      <c r="F125" s="1405"/>
      <c r="G125" s="1405"/>
      <c r="H125" s="1406"/>
      <c r="I125" s="1406"/>
      <c r="J125" s="1405"/>
    </row>
    <row r="126" spans="2:10">
      <c r="B126" s="1405"/>
      <c r="C126" s="1405"/>
      <c r="D126" s="1405"/>
      <c r="E126" s="1405"/>
      <c r="F126" s="1405"/>
      <c r="G126" s="1405"/>
      <c r="H126" s="1406"/>
      <c r="I126" s="1406"/>
      <c r="J126" s="1405"/>
    </row>
    <row r="127" spans="2:10">
      <c r="B127" s="1405"/>
      <c r="C127" s="1405"/>
      <c r="D127" s="1405"/>
      <c r="E127" s="1405"/>
      <c r="F127" s="1405"/>
      <c r="G127" s="1405"/>
      <c r="H127" s="1406"/>
      <c r="I127" s="1406"/>
      <c r="J127" s="1405"/>
    </row>
    <row r="128" spans="2:10">
      <c r="B128" s="1405"/>
      <c r="C128" s="1405"/>
      <c r="D128" s="1405"/>
      <c r="E128" s="1405"/>
      <c r="F128" s="1405"/>
      <c r="G128" s="1405"/>
      <c r="H128" s="1406"/>
      <c r="I128" s="1406"/>
      <c r="J128" s="1405"/>
    </row>
    <row r="129" spans="2:10">
      <c r="B129" s="1405"/>
      <c r="C129" s="1405"/>
      <c r="D129" s="1405"/>
      <c r="E129" s="1405"/>
      <c r="F129" s="1405"/>
      <c r="G129" s="1405"/>
      <c r="H129" s="1406"/>
      <c r="I129" s="1406"/>
      <c r="J129" s="1405"/>
    </row>
    <row r="130" spans="2:10">
      <c r="B130" s="1405"/>
      <c r="C130" s="1405"/>
      <c r="D130" s="1405"/>
      <c r="E130" s="1405"/>
      <c r="F130" s="1405"/>
      <c r="G130" s="1405"/>
      <c r="H130" s="1406"/>
      <c r="I130" s="1406"/>
      <c r="J130" s="1405"/>
    </row>
    <row r="131" spans="2:10">
      <c r="B131" s="1405"/>
      <c r="C131" s="1405"/>
      <c r="D131" s="1405"/>
      <c r="E131" s="1405"/>
      <c r="F131" s="1405"/>
      <c r="G131" s="1405"/>
      <c r="H131" s="1406"/>
      <c r="I131" s="1406"/>
      <c r="J131" s="1405"/>
    </row>
    <row r="132" spans="2:10">
      <c r="B132" s="1405"/>
      <c r="C132" s="1405"/>
      <c r="D132" s="1405"/>
      <c r="E132" s="1405"/>
      <c r="F132" s="1405"/>
      <c r="G132" s="1405"/>
      <c r="H132" s="1406"/>
      <c r="I132" s="1406"/>
      <c r="J132" s="1405"/>
    </row>
    <row r="133" spans="2:10">
      <c r="B133" s="1405"/>
      <c r="C133" s="1405"/>
      <c r="D133" s="1405"/>
      <c r="E133" s="1405"/>
      <c r="F133" s="1405"/>
      <c r="G133" s="1405"/>
      <c r="H133" s="1406"/>
      <c r="I133" s="1406"/>
      <c r="J133" s="1405"/>
    </row>
    <row r="134" spans="2:10">
      <c r="B134" s="1405"/>
      <c r="C134" s="1405"/>
      <c r="D134" s="1405"/>
      <c r="E134" s="1405"/>
      <c r="F134" s="1405"/>
      <c r="G134" s="1405"/>
      <c r="H134" s="1406"/>
      <c r="I134" s="1406"/>
      <c r="J134" s="1405"/>
    </row>
    <row r="135" spans="2:10">
      <c r="B135" s="1405"/>
      <c r="C135" s="1405"/>
      <c r="D135" s="1405"/>
      <c r="E135" s="1405"/>
      <c r="F135" s="1405"/>
      <c r="G135" s="1405"/>
      <c r="H135" s="1406"/>
      <c r="I135" s="1406"/>
      <c r="J135" s="1405"/>
    </row>
    <row r="136" spans="2:10">
      <c r="B136" s="1405"/>
      <c r="C136" s="1405"/>
      <c r="D136" s="1405"/>
      <c r="E136" s="1405"/>
      <c r="F136" s="1405"/>
      <c r="G136" s="1405"/>
      <c r="H136" s="1406"/>
      <c r="I136" s="1406"/>
      <c r="J136" s="1405"/>
    </row>
    <row r="137" spans="2:10">
      <c r="B137" s="1405"/>
      <c r="C137" s="1405"/>
      <c r="D137" s="1405"/>
      <c r="E137" s="1405"/>
      <c r="F137" s="1405"/>
      <c r="G137" s="1405"/>
      <c r="H137" s="1406"/>
      <c r="I137" s="1406"/>
      <c r="J137" s="1405"/>
    </row>
    <row r="138" spans="2:10">
      <c r="B138" s="1405"/>
      <c r="C138" s="1405"/>
      <c r="D138" s="1405"/>
      <c r="E138" s="1405"/>
      <c r="F138" s="1405"/>
      <c r="G138" s="1405"/>
      <c r="H138" s="1406"/>
      <c r="I138" s="1406"/>
      <c r="J138" s="1405"/>
    </row>
    <row r="139" spans="2:10">
      <c r="B139" s="1405"/>
      <c r="C139" s="1405"/>
      <c r="D139" s="1405"/>
      <c r="E139" s="1405"/>
      <c r="F139" s="1405"/>
      <c r="G139" s="1405"/>
      <c r="H139" s="1406"/>
      <c r="I139" s="1406"/>
      <c r="J139" s="1405"/>
    </row>
    <row r="140" spans="2:10">
      <c r="B140" s="1405"/>
      <c r="C140" s="1405"/>
      <c r="D140" s="1405"/>
      <c r="E140" s="1405"/>
      <c r="F140" s="1405"/>
      <c r="G140" s="1405"/>
      <c r="H140" s="1406"/>
      <c r="I140" s="1406"/>
      <c r="J140" s="1405"/>
    </row>
    <row r="141" spans="2:10">
      <c r="B141" s="1405"/>
      <c r="C141" s="1405"/>
      <c r="D141" s="1405"/>
      <c r="E141" s="1405"/>
      <c r="F141" s="1405"/>
      <c r="G141" s="1405"/>
      <c r="H141" s="1406"/>
      <c r="I141" s="1406"/>
      <c r="J141" s="1405"/>
    </row>
    <row r="142" spans="2:10">
      <c r="B142" s="1405"/>
      <c r="C142" s="1405"/>
      <c r="D142" s="1405"/>
      <c r="E142" s="1405"/>
      <c r="F142" s="1405"/>
      <c r="G142" s="1405"/>
      <c r="H142" s="1406"/>
      <c r="I142" s="1406"/>
      <c r="J142" s="1405"/>
    </row>
    <row r="143" spans="2:10">
      <c r="B143" s="1405"/>
      <c r="C143" s="1405"/>
      <c r="D143" s="1405"/>
      <c r="E143" s="1405"/>
      <c r="F143" s="1405"/>
      <c r="G143" s="1405"/>
      <c r="H143" s="1406"/>
      <c r="I143" s="1406"/>
      <c r="J143" s="1405"/>
    </row>
    <row r="144" spans="2:10">
      <c r="B144" s="1405"/>
      <c r="C144" s="1405"/>
      <c r="D144" s="1405"/>
      <c r="E144" s="1405"/>
      <c r="F144" s="1405"/>
      <c r="G144" s="1405"/>
      <c r="H144" s="1406"/>
      <c r="I144" s="1406"/>
      <c r="J144" s="1405"/>
    </row>
    <row r="145" spans="2:10">
      <c r="B145" s="1405"/>
      <c r="C145" s="1405"/>
      <c r="D145" s="1405"/>
      <c r="E145" s="1405"/>
      <c r="F145" s="1405"/>
      <c r="G145" s="1405"/>
      <c r="H145" s="1406"/>
      <c r="I145" s="1406"/>
      <c r="J145" s="1405"/>
    </row>
    <row r="146" spans="2:10">
      <c r="B146" s="1405"/>
      <c r="C146" s="1405"/>
      <c r="D146" s="1405"/>
      <c r="E146" s="1405"/>
      <c r="F146" s="1405"/>
      <c r="G146" s="1405"/>
      <c r="H146" s="1406"/>
      <c r="I146" s="1406"/>
      <c r="J146" s="1405"/>
    </row>
    <row r="147" spans="2:10">
      <c r="B147" s="1405"/>
      <c r="C147" s="1405"/>
      <c r="D147" s="1405"/>
      <c r="E147" s="1405"/>
      <c r="F147" s="1405"/>
      <c r="G147" s="1405"/>
      <c r="H147" s="1406"/>
      <c r="I147" s="1406"/>
      <c r="J147" s="1405"/>
    </row>
    <row r="148" spans="2:10">
      <c r="B148" s="1405"/>
      <c r="C148" s="1405"/>
      <c r="D148" s="1405"/>
      <c r="E148" s="1405"/>
      <c r="F148" s="1405"/>
      <c r="G148" s="1405"/>
      <c r="H148" s="1406"/>
      <c r="I148" s="1406"/>
      <c r="J148" s="1405"/>
    </row>
    <row r="149" spans="2:10">
      <c r="B149" s="1405"/>
      <c r="C149" s="1405"/>
      <c r="D149" s="1405"/>
      <c r="E149" s="1405"/>
      <c r="F149" s="1405"/>
      <c r="G149" s="1405"/>
      <c r="H149" s="1406"/>
      <c r="I149" s="1406"/>
      <c r="J149" s="1405"/>
    </row>
    <row r="150" spans="2:10">
      <c r="B150" s="1405"/>
      <c r="C150" s="1405"/>
      <c r="D150" s="1405"/>
      <c r="E150" s="1405"/>
      <c r="F150" s="1405"/>
      <c r="G150" s="1405"/>
      <c r="H150" s="1406"/>
      <c r="I150" s="1406"/>
      <c r="J150" s="1405"/>
    </row>
    <row r="151" spans="2:10">
      <c r="B151" s="1405"/>
      <c r="C151" s="1405"/>
      <c r="D151" s="1405"/>
      <c r="E151" s="1405"/>
      <c r="F151" s="1405"/>
      <c r="G151" s="1405"/>
      <c r="H151" s="1406"/>
      <c r="I151" s="1406"/>
      <c r="J151" s="1405"/>
    </row>
    <row r="152" spans="2:10">
      <c r="B152" s="1405"/>
      <c r="C152" s="1405"/>
      <c r="D152" s="1405"/>
      <c r="E152" s="1405"/>
      <c r="F152" s="1405"/>
      <c r="G152" s="1405"/>
      <c r="H152" s="1406"/>
      <c r="I152" s="1406"/>
      <c r="J152" s="1405"/>
    </row>
    <row r="153" spans="2:10">
      <c r="B153" s="1405"/>
      <c r="C153" s="1405"/>
      <c r="D153" s="1405"/>
      <c r="E153" s="1405"/>
      <c r="F153" s="1405"/>
      <c r="G153" s="1405"/>
      <c r="H153" s="1406"/>
      <c r="I153" s="1406"/>
      <c r="J153" s="1405"/>
    </row>
    <row r="154" spans="2:10">
      <c r="B154" s="1405"/>
      <c r="C154" s="1405"/>
      <c r="D154" s="1405"/>
      <c r="E154" s="1405"/>
      <c r="F154" s="1405"/>
      <c r="G154" s="1405"/>
      <c r="H154" s="1406"/>
      <c r="I154" s="1406"/>
      <c r="J154" s="1405"/>
    </row>
    <row r="155" spans="2:10">
      <c r="B155" s="1405"/>
      <c r="C155" s="1405"/>
      <c r="D155" s="1405"/>
      <c r="E155" s="1405"/>
      <c r="F155" s="1405"/>
      <c r="G155" s="1405"/>
      <c r="H155" s="1406"/>
      <c r="I155" s="1406"/>
      <c r="J155" s="1405"/>
    </row>
    <row r="156" spans="2:10">
      <c r="B156" s="1405"/>
      <c r="C156" s="1405"/>
      <c r="D156" s="1405"/>
      <c r="E156" s="1405"/>
      <c r="F156" s="1405"/>
      <c r="G156" s="1405"/>
      <c r="H156" s="1406"/>
      <c r="I156" s="1406"/>
      <c r="J156" s="1405"/>
    </row>
    <row r="157" spans="2:10">
      <c r="B157" s="1405"/>
      <c r="C157" s="1405"/>
      <c r="D157" s="1405"/>
      <c r="E157" s="1405"/>
      <c r="F157" s="1405"/>
      <c r="G157" s="1405"/>
      <c r="H157" s="1406"/>
      <c r="I157" s="1406"/>
      <c r="J157" s="1405"/>
    </row>
    <row r="158" spans="2:10">
      <c r="B158" s="1405"/>
      <c r="C158" s="1405"/>
      <c r="D158" s="1405"/>
      <c r="E158" s="1405"/>
      <c r="F158" s="1405"/>
      <c r="G158" s="1405"/>
      <c r="H158" s="1406"/>
      <c r="I158" s="1406"/>
      <c r="J158" s="1405"/>
    </row>
    <row r="159" spans="2:10">
      <c r="B159" s="1405"/>
      <c r="C159" s="1405"/>
      <c r="D159" s="1405"/>
      <c r="E159" s="1405"/>
      <c r="F159" s="1405"/>
      <c r="G159" s="1405"/>
      <c r="H159" s="1406"/>
      <c r="I159" s="1406"/>
      <c r="J159" s="1405"/>
    </row>
    <row r="160" spans="2:10">
      <c r="B160" s="1405"/>
      <c r="C160" s="1405"/>
      <c r="D160" s="1405"/>
      <c r="E160" s="1405"/>
      <c r="F160" s="1405"/>
      <c r="G160" s="1405"/>
      <c r="H160" s="1406"/>
      <c r="I160" s="1406"/>
      <c r="J160" s="1405"/>
    </row>
    <row r="161" spans="1:10">
      <c r="B161" s="1405"/>
      <c r="C161" s="1405"/>
      <c r="D161" s="1405"/>
      <c r="E161" s="1405"/>
      <c r="F161" s="1405"/>
      <c r="G161" s="1405"/>
      <c r="H161" s="1406"/>
      <c r="I161" s="1406"/>
      <c r="J161" s="1405"/>
    </row>
    <row r="162" spans="1:10">
      <c r="B162" s="1405"/>
      <c r="C162" s="1405"/>
      <c r="D162" s="1405"/>
      <c r="E162" s="1405"/>
      <c r="F162" s="1405"/>
      <c r="G162" s="1405"/>
      <c r="H162" s="1406"/>
      <c r="I162" s="1406"/>
      <c r="J162" s="1405"/>
    </row>
    <row r="163" spans="1:10">
      <c r="B163" s="1405"/>
      <c r="C163" s="1405"/>
      <c r="D163" s="1405"/>
      <c r="E163" s="1405"/>
      <c r="F163" s="1405"/>
      <c r="G163" s="1405"/>
      <c r="H163" s="1406"/>
      <c r="I163" s="1406"/>
      <c r="J163" s="1405"/>
    </row>
    <row r="164" spans="1:10">
      <c r="B164" s="1405"/>
      <c r="C164" s="1405"/>
      <c r="D164" s="1405"/>
      <c r="E164" s="1405"/>
      <c r="F164" s="1405"/>
      <c r="G164" s="1405"/>
      <c r="H164" s="1406"/>
      <c r="I164" s="1406"/>
      <c r="J164" s="1405"/>
    </row>
    <row r="165" spans="1:10">
      <c r="B165" s="1405"/>
      <c r="C165" s="1405"/>
      <c r="D165" s="1405"/>
      <c r="E165" s="1405"/>
      <c r="F165" s="1405"/>
      <c r="G165" s="1405"/>
      <c r="H165" s="1406"/>
      <c r="I165" s="1406"/>
      <c r="J165" s="1405"/>
    </row>
    <row r="166" spans="1:10">
      <c r="B166" s="1405"/>
      <c r="C166" s="1405"/>
      <c r="D166" s="1405"/>
      <c r="E166" s="1405"/>
      <c r="F166" s="1405"/>
      <c r="G166" s="1405"/>
      <c r="H166" s="1406"/>
      <c r="I166" s="1406"/>
      <c r="J166" s="1405"/>
    </row>
    <row r="167" spans="1:10">
      <c r="B167" s="1405"/>
      <c r="C167" s="1405"/>
      <c r="D167" s="1405"/>
      <c r="E167" s="1405"/>
      <c r="F167" s="1405"/>
      <c r="G167" s="1405"/>
      <c r="H167" s="1406"/>
      <c r="I167" s="1406"/>
      <c r="J167" s="1405"/>
    </row>
    <row r="168" spans="1:10">
      <c r="B168" s="1405"/>
      <c r="C168" s="1405"/>
      <c r="D168" s="1405"/>
      <c r="E168" s="1405"/>
      <c r="F168" s="1405"/>
      <c r="G168" s="1405"/>
      <c r="H168" s="1406"/>
      <c r="I168" s="1406"/>
      <c r="J168" s="1405"/>
    </row>
    <row r="169" spans="1:10">
      <c r="A169" s="1404"/>
      <c r="B169" s="1405"/>
      <c r="C169" s="1405"/>
      <c r="D169" s="1405"/>
      <c r="E169" s="1405"/>
      <c r="F169" s="1405"/>
      <c r="G169" s="1405"/>
      <c r="H169" s="1405"/>
      <c r="I169" s="1405"/>
      <c r="J169" s="1405"/>
    </row>
    <row r="170" spans="1:10">
      <c r="A170" s="1404"/>
      <c r="B170" s="1405"/>
      <c r="C170" s="1405"/>
      <c r="D170" s="1405"/>
      <c r="E170" s="1405"/>
      <c r="F170" s="1405"/>
      <c r="G170" s="1405"/>
      <c r="H170" s="1405"/>
      <c r="I170" s="1405"/>
      <c r="J170" s="1405"/>
    </row>
    <row r="171" spans="1:10">
      <c r="A171" s="1404"/>
      <c r="B171" s="1408"/>
      <c r="C171" s="1408"/>
      <c r="D171" s="1408"/>
      <c r="E171" s="1408"/>
      <c r="F171" s="1408"/>
      <c r="G171" s="1408"/>
      <c r="H171" s="1405"/>
      <c r="I171" s="1405"/>
      <c r="J171" s="1405"/>
    </row>
    <row r="172" spans="1:10">
      <c r="A172" s="1404"/>
      <c r="B172" s="1405"/>
      <c r="C172" s="1405"/>
      <c r="D172" s="1405"/>
      <c r="E172" s="1405"/>
      <c r="F172" s="1405"/>
      <c r="G172" s="1405"/>
      <c r="H172" s="1405"/>
      <c r="I172" s="1405"/>
      <c r="J172" s="1405"/>
    </row>
    <row r="173" spans="1:10">
      <c r="A173" s="1404"/>
      <c r="B173" s="1405"/>
      <c r="C173" s="1405"/>
      <c r="D173" s="1405"/>
      <c r="E173" s="1405"/>
      <c r="F173" s="1405"/>
      <c r="G173" s="1405"/>
      <c r="H173" s="1405"/>
      <c r="I173" s="1405"/>
      <c r="J173" s="1405"/>
    </row>
    <row r="174" spans="1:10">
      <c r="A174" s="1404"/>
      <c r="B174" s="1405"/>
      <c r="C174" s="1405"/>
      <c r="D174" s="1405"/>
      <c r="E174" s="1405"/>
      <c r="F174" s="1405"/>
      <c r="G174" s="1405"/>
      <c r="H174" s="1405"/>
      <c r="I174" s="1405"/>
      <c r="J174" s="1405"/>
    </row>
    <row r="175" spans="1:10">
      <c r="A175" s="1404"/>
      <c r="B175" s="1405"/>
      <c r="C175" s="1405"/>
      <c r="D175" s="1405"/>
      <c r="E175" s="1405"/>
      <c r="F175" s="1405"/>
      <c r="G175" s="1405"/>
      <c r="H175" s="1405"/>
      <c r="I175" s="1405"/>
      <c r="J175" s="1405"/>
    </row>
    <row r="176" spans="1:10">
      <c r="A176" s="1404"/>
      <c r="B176" s="1405"/>
      <c r="C176" s="1405"/>
      <c r="D176" s="1405"/>
      <c r="E176" s="1405"/>
      <c r="F176" s="1405"/>
      <c r="G176" s="1405"/>
      <c r="H176" s="1405"/>
      <c r="I176" s="1405"/>
      <c r="J176" s="1405"/>
    </row>
    <row r="177" spans="1:10">
      <c r="A177" s="1404"/>
      <c r="B177" s="1405"/>
      <c r="C177" s="1405"/>
      <c r="D177" s="1405"/>
      <c r="E177" s="1405"/>
      <c r="F177" s="1405"/>
      <c r="G177" s="1405"/>
      <c r="H177" s="1405"/>
      <c r="I177" s="1405"/>
      <c r="J177" s="1405"/>
    </row>
    <row r="178" spans="1:10">
      <c r="A178" s="1404"/>
      <c r="B178" s="1405"/>
      <c r="C178" s="1405"/>
      <c r="D178" s="1405"/>
      <c r="E178" s="1405"/>
      <c r="F178" s="1405"/>
      <c r="G178" s="1405"/>
      <c r="H178" s="1405"/>
      <c r="I178" s="1405"/>
      <c r="J178" s="1405"/>
    </row>
    <row r="179" spans="1:10">
      <c r="A179" s="1404"/>
      <c r="B179" s="1405"/>
      <c r="C179" s="1405"/>
      <c r="D179" s="1405"/>
      <c r="E179" s="1405"/>
      <c r="F179" s="1405"/>
      <c r="G179" s="1405"/>
      <c r="H179" s="1405"/>
      <c r="I179" s="1405"/>
      <c r="J179" s="1405"/>
    </row>
    <row r="180" spans="1:10">
      <c r="A180" s="1404"/>
      <c r="B180" s="1405"/>
      <c r="C180" s="1405"/>
      <c r="D180" s="1405"/>
      <c r="E180" s="1405"/>
      <c r="F180" s="1405"/>
      <c r="G180" s="1405"/>
      <c r="H180" s="1405"/>
      <c r="I180" s="1405"/>
      <c r="J180" s="1405"/>
    </row>
    <row r="181" spans="1:10">
      <c r="A181" s="1404"/>
      <c r="B181" s="1405"/>
      <c r="C181" s="1405"/>
      <c r="D181" s="1405"/>
      <c r="E181" s="1405"/>
      <c r="F181" s="1405"/>
      <c r="G181" s="1405"/>
      <c r="H181" s="1405"/>
      <c r="I181" s="1405"/>
      <c r="J181" s="1405"/>
    </row>
    <row r="182" spans="1:10">
      <c r="A182" s="1404"/>
      <c r="B182" s="1405"/>
      <c r="C182" s="1405"/>
      <c r="D182" s="1405"/>
      <c r="E182" s="1405"/>
      <c r="F182" s="1405"/>
      <c r="G182" s="1405"/>
      <c r="H182" s="1405"/>
      <c r="I182" s="1405"/>
      <c r="J182" s="1405"/>
    </row>
    <row r="183" spans="1:10">
      <c r="A183" s="1404"/>
      <c r="B183" s="1405"/>
      <c r="C183" s="1405"/>
      <c r="D183" s="1405"/>
      <c r="E183" s="1405"/>
      <c r="F183" s="1405"/>
      <c r="G183" s="1405"/>
      <c r="H183" s="1405"/>
      <c r="I183" s="1405"/>
      <c r="J183" s="1405"/>
    </row>
    <row r="184" spans="1:10">
      <c r="A184" s="1404"/>
      <c r="B184" s="1405"/>
      <c r="C184" s="1405"/>
      <c r="D184" s="1405"/>
      <c r="E184" s="1405"/>
      <c r="F184" s="1405"/>
      <c r="G184" s="1405"/>
      <c r="H184" s="1405"/>
      <c r="I184" s="1405"/>
      <c r="J184" s="1405"/>
    </row>
    <row r="185" spans="1:10">
      <c r="A185" s="1404"/>
      <c r="B185" s="1405"/>
      <c r="C185" s="1405"/>
      <c r="D185" s="1405"/>
      <c r="E185" s="1405"/>
      <c r="F185" s="1405"/>
      <c r="G185" s="1405"/>
      <c r="H185" s="1405"/>
      <c r="I185" s="1405"/>
      <c r="J185" s="1405"/>
    </row>
    <row r="186" spans="1:10">
      <c r="A186" s="1404"/>
      <c r="B186" s="1405"/>
      <c r="C186" s="1405"/>
      <c r="D186" s="1405"/>
      <c r="E186" s="1405"/>
      <c r="F186" s="1405"/>
      <c r="G186" s="1405"/>
      <c r="H186" s="1405"/>
      <c r="I186" s="1405"/>
      <c r="J186" s="1405"/>
    </row>
    <row r="187" spans="1:10">
      <c r="A187" s="1404"/>
      <c r="B187" s="1405"/>
      <c r="C187" s="1405"/>
      <c r="D187" s="1405"/>
      <c r="E187" s="1405"/>
      <c r="F187" s="1405"/>
      <c r="G187" s="1405"/>
      <c r="H187" s="1405"/>
      <c r="I187" s="1405"/>
      <c r="J187" s="1405"/>
    </row>
    <row r="188" spans="1:10">
      <c r="A188" s="1404"/>
      <c r="B188" s="1405"/>
      <c r="C188" s="1405"/>
      <c r="D188" s="1405"/>
      <c r="E188" s="1405"/>
      <c r="F188" s="1405"/>
      <c r="G188" s="1405"/>
      <c r="H188" s="1405"/>
      <c r="I188" s="1405"/>
      <c r="J188" s="1405"/>
    </row>
    <row r="189" spans="1:10">
      <c r="A189" s="1404"/>
      <c r="B189" s="1405"/>
      <c r="C189" s="1405"/>
      <c r="D189" s="1405"/>
      <c r="E189" s="1405"/>
      <c r="F189" s="1405"/>
      <c r="G189" s="1405"/>
      <c r="H189" s="1405"/>
      <c r="I189" s="1405"/>
      <c r="J189" s="1405"/>
    </row>
    <row r="190" spans="1:10">
      <c r="A190" s="1404"/>
      <c r="B190" s="1405"/>
      <c r="C190" s="1405"/>
      <c r="D190" s="1405"/>
      <c r="E190" s="1405"/>
      <c r="F190" s="1405"/>
      <c r="G190" s="1405"/>
      <c r="H190" s="1405"/>
      <c r="I190" s="1405"/>
      <c r="J190" s="1405"/>
    </row>
    <row r="191" spans="1:10">
      <c r="A191" s="1404"/>
      <c r="B191" s="1405"/>
      <c r="C191" s="1405"/>
      <c r="D191" s="1405"/>
      <c r="E191" s="1405"/>
      <c r="F191" s="1405"/>
      <c r="G191" s="1405"/>
      <c r="H191" s="1405"/>
      <c r="I191" s="1405"/>
      <c r="J191" s="1405"/>
    </row>
    <row r="192" spans="1:10">
      <c r="A192" s="1404"/>
      <c r="B192" s="1405"/>
      <c r="C192" s="1405"/>
      <c r="D192" s="1405"/>
      <c r="E192" s="1405"/>
      <c r="F192" s="1405"/>
      <c r="G192" s="1405"/>
      <c r="H192" s="1405"/>
      <c r="I192" s="1405"/>
      <c r="J192" s="1405"/>
    </row>
    <row r="193" spans="1:10">
      <c r="A193" s="1404"/>
      <c r="B193" s="1405"/>
      <c r="C193" s="1405"/>
      <c r="D193" s="1405"/>
      <c r="E193" s="1405"/>
      <c r="F193" s="1405"/>
      <c r="G193" s="1405"/>
      <c r="H193" s="1405"/>
      <c r="I193" s="1405"/>
      <c r="J193" s="1405"/>
    </row>
    <row r="194" spans="1:10">
      <c r="A194" s="1404"/>
      <c r="B194" s="1405"/>
      <c r="C194" s="1405"/>
      <c r="D194" s="1405"/>
      <c r="E194" s="1405"/>
      <c r="F194" s="1405"/>
      <c r="G194" s="1405"/>
      <c r="H194" s="1405"/>
      <c r="I194" s="1405"/>
      <c r="J194" s="1405"/>
    </row>
    <row r="195" spans="1:10">
      <c r="A195" s="1404"/>
      <c r="B195" s="1405"/>
      <c r="C195" s="1405"/>
      <c r="D195" s="1405"/>
      <c r="E195" s="1405"/>
      <c r="F195" s="1405"/>
      <c r="G195" s="1405"/>
      <c r="H195" s="1405"/>
      <c r="I195" s="1405"/>
      <c r="J195" s="1405"/>
    </row>
    <row r="196" spans="1:10">
      <c r="A196" s="1404"/>
      <c r="B196" s="1405"/>
      <c r="C196" s="1405"/>
      <c r="D196" s="1405"/>
      <c r="E196" s="1405"/>
      <c r="F196" s="1405"/>
      <c r="G196" s="1405"/>
      <c r="H196" s="1405"/>
      <c r="I196" s="1405"/>
      <c r="J196" s="1405"/>
    </row>
    <row r="197" spans="1:10">
      <c r="A197" s="1404"/>
      <c r="B197" s="1405"/>
      <c r="C197" s="1405"/>
      <c r="D197" s="1405"/>
      <c r="E197" s="1405"/>
      <c r="F197" s="1405"/>
      <c r="G197" s="1405"/>
      <c r="H197" s="1405"/>
      <c r="I197" s="1405"/>
      <c r="J197" s="1405"/>
    </row>
    <row r="198" spans="1:10">
      <c r="A198" s="154"/>
      <c r="B198" s="1409"/>
      <c r="C198" s="1409"/>
      <c r="D198" s="1409"/>
      <c r="E198" s="1409"/>
      <c r="F198" s="1409"/>
      <c r="G198" s="1409"/>
      <c r="H198" s="1409"/>
      <c r="I198" s="1409"/>
      <c r="J198" s="1409"/>
    </row>
    <row r="199" spans="1:10">
      <c r="A199" s="1404"/>
      <c r="B199" s="1405"/>
      <c r="C199" s="1405"/>
      <c r="D199" s="1405"/>
      <c r="E199" s="1405"/>
      <c r="F199" s="1405"/>
      <c r="G199" s="1405"/>
      <c r="H199" s="1405"/>
      <c r="I199" s="1405"/>
      <c r="J199" s="1405"/>
    </row>
  </sheetData>
  <mergeCells count="1">
    <mergeCell ref="A1:G1"/>
  </mergeCells>
  <printOptions horizontalCentered="1"/>
  <pageMargins left="0.5" right="0.5" top="1" bottom="0.5" header="0.5" footer="0.5"/>
  <pageSetup scale="51" fitToHeight="3" orientation="portrait" r:id="rId1"/>
  <headerFooter alignWithMargins="0"/>
  <rowBreaks count="2" manualBreakCount="2">
    <brk id="42" max="16383" man="1"/>
    <brk id="9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view="pageBreakPreview" topLeftCell="A52" zoomScale="50" zoomScaleNormal="90" zoomScaleSheetLayoutView="50" workbookViewId="0">
      <selection activeCell="A13" sqref="A1:XFD1048576"/>
    </sheetView>
  </sheetViews>
  <sheetFormatPr defaultColWidth="11.453125" defaultRowHeight="13"/>
  <cols>
    <col min="1" max="1" width="7.7265625" style="649" customWidth="1"/>
    <col min="2" max="2" width="1.81640625" style="649" customWidth="1"/>
    <col min="3" max="3" width="55" style="649" customWidth="1"/>
    <col min="4" max="4" width="17.7265625" style="649" customWidth="1"/>
    <col min="5" max="5" width="22.54296875" style="649" customWidth="1"/>
    <col min="6" max="6" width="16.81640625" style="649" customWidth="1"/>
    <col min="7" max="7" width="18.54296875" style="649" customWidth="1"/>
    <col min="8" max="8" width="21" style="649" customWidth="1"/>
    <col min="9" max="9" width="17.7265625" style="649" customWidth="1"/>
    <col min="10" max="10" width="18.54296875" style="649" customWidth="1"/>
    <col min="11" max="11" width="17.453125" style="649" customWidth="1"/>
    <col min="12" max="12" width="17.7265625" style="649" customWidth="1"/>
    <col min="13" max="13" width="15.453125" style="649" customWidth="1"/>
    <col min="14" max="14" width="16.26953125" style="649" customWidth="1"/>
    <col min="15" max="15" width="18.54296875" style="649" customWidth="1"/>
    <col min="16" max="16" width="15.26953125" style="649" customWidth="1"/>
    <col min="17" max="17" width="16.7265625" style="649" customWidth="1"/>
    <col min="18" max="18" width="16" style="649" customWidth="1"/>
    <col min="19" max="19" width="16.7265625" style="649" customWidth="1"/>
    <col min="20" max="20" width="14.54296875" style="651" bestFit="1" customWidth="1"/>
    <col min="21" max="16384" width="11.453125" style="649"/>
  </cols>
  <sheetData>
    <row r="1" spans="1:21">
      <c r="Q1" s="650"/>
    </row>
    <row r="2" spans="1:21">
      <c r="Q2" s="650"/>
    </row>
    <row r="4" spans="1:21">
      <c r="Q4" s="650"/>
    </row>
    <row r="5" spans="1:21">
      <c r="D5" s="652"/>
      <c r="E5" s="652"/>
      <c r="F5" s="652"/>
      <c r="G5" s="582" t="s">
        <v>402</v>
      </c>
      <c r="H5" s="652"/>
      <c r="I5" s="652"/>
      <c r="J5" s="652"/>
      <c r="K5" s="653"/>
      <c r="L5" s="654"/>
      <c r="M5" s="655"/>
      <c r="N5" s="655"/>
      <c r="O5" s="655"/>
      <c r="P5" s="655"/>
      <c r="Q5" s="655"/>
      <c r="R5" s="656"/>
      <c r="S5" s="656"/>
      <c r="T5" s="657"/>
      <c r="U5" s="656"/>
    </row>
    <row r="6" spans="1:21">
      <c r="D6" s="652"/>
      <c r="E6" s="658" t="s">
        <v>101</v>
      </c>
      <c r="F6" s="658"/>
      <c r="G6" s="1062" t="s">
        <v>1505</v>
      </c>
      <c r="H6" s="658"/>
      <c r="I6" s="658"/>
      <c r="J6" s="658"/>
      <c r="K6" s="653"/>
      <c r="P6" s="656"/>
      <c r="Q6" s="653"/>
      <c r="R6" s="656"/>
      <c r="S6" s="659"/>
      <c r="T6" s="657"/>
      <c r="U6" s="656"/>
    </row>
    <row r="7" spans="1:21">
      <c r="C7" s="656"/>
      <c r="D7" s="656"/>
      <c r="E7" s="656"/>
      <c r="F7" s="656"/>
      <c r="G7" s="587" t="s">
        <v>343</v>
      </c>
      <c r="H7" s="656"/>
      <c r="I7" s="656"/>
      <c r="J7" s="656"/>
      <c r="K7" s="656"/>
      <c r="P7" s="656"/>
      <c r="Q7" s="656"/>
      <c r="R7" s="656"/>
      <c r="S7" s="660"/>
      <c r="T7" s="657"/>
      <c r="U7" s="656"/>
    </row>
    <row r="8" spans="1:21">
      <c r="A8" s="582"/>
      <c r="C8" s="656"/>
      <c r="D8" s="656"/>
      <c r="E8" s="656"/>
      <c r="F8" s="656"/>
      <c r="H8" s="656"/>
      <c r="I8" s="656"/>
      <c r="J8" s="656"/>
      <c r="K8" s="656"/>
      <c r="L8" s="656"/>
      <c r="M8" s="656"/>
      <c r="N8" s="656"/>
      <c r="O8" s="656"/>
      <c r="P8" s="656"/>
      <c r="Q8" s="656"/>
      <c r="R8" s="656"/>
      <c r="S8" s="660"/>
      <c r="T8" s="657"/>
      <c r="U8" s="656"/>
    </row>
    <row r="9" spans="1:21">
      <c r="A9" s="582"/>
      <c r="C9" s="656"/>
      <c r="D9" s="656"/>
      <c r="E9" s="656"/>
      <c r="F9" s="656"/>
      <c r="G9" s="661"/>
      <c r="H9" s="656"/>
      <c r="I9" s="656"/>
      <c r="J9" s="656"/>
      <c r="K9" s="656"/>
      <c r="L9" s="656"/>
      <c r="M9" s="656"/>
      <c r="N9" s="656"/>
      <c r="O9" s="656"/>
      <c r="P9" s="656"/>
      <c r="Q9" s="656"/>
      <c r="R9" s="656"/>
      <c r="S9" s="660"/>
      <c r="T9" s="657"/>
      <c r="U9" s="656"/>
    </row>
    <row r="10" spans="1:21">
      <c r="A10" s="582"/>
      <c r="C10" s="656" t="s">
        <v>857</v>
      </c>
      <c r="D10" s="656"/>
      <c r="E10" s="656"/>
      <c r="F10" s="656"/>
      <c r="G10" s="661"/>
      <c r="H10" s="656"/>
      <c r="I10" s="656"/>
      <c r="J10" s="656"/>
      <c r="K10" s="656"/>
      <c r="L10" s="656"/>
      <c r="M10" s="656"/>
      <c r="N10" s="656"/>
      <c r="O10" s="656"/>
      <c r="P10" s="656"/>
      <c r="Q10" s="656"/>
      <c r="R10" s="656"/>
      <c r="S10" s="660"/>
      <c r="T10" s="657"/>
      <c r="U10" s="656"/>
    </row>
    <row r="11" spans="1:21">
      <c r="A11" s="582"/>
      <c r="C11" s="656"/>
      <c r="D11" s="656"/>
      <c r="E11" s="656"/>
      <c r="F11" s="656"/>
      <c r="G11" s="661"/>
      <c r="L11" s="656"/>
      <c r="M11" s="656"/>
      <c r="N11" s="656"/>
      <c r="O11" s="656"/>
      <c r="P11" s="656"/>
      <c r="Q11" s="656"/>
      <c r="R11" s="656"/>
      <c r="S11" s="656"/>
      <c r="T11" s="617"/>
      <c r="U11" s="656"/>
    </row>
    <row r="12" spans="1:21">
      <c r="A12" s="582"/>
      <c r="C12" s="656"/>
      <c r="D12" s="656"/>
      <c r="E12" s="656"/>
      <c r="F12" s="656"/>
      <c r="G12" s="656"/>
      <c r="L12" s="662"/>
      <c r="M12" s="662"/>
      <c r="N12" s="662"/>
      <c r="O12" s="662"/>
      <c r="P12" s="656"/>
      <c r="Q12" s="656"/>
      <c r="R12" s="656"/>
      <c r="S12" s="656"/>
      <c r="T12" s="617"/>
      <c r="U12" s="656"/>
    </row>
    <row r="13" spans="1:21">
      <c r="C13" s="663" t="s">
        <v>687</v>
      </c>
      <c r="D13" s="663"/>
      <c r="E13" s="663" t="s">
        <v>688</v>
      </c>
      <c r="F13" s="663"/>
      <c r="I13" s="663" t="s">
        <v>689</v>
      </c>
      <c r="L13" s="664" t="s">
        <v>690</v>
      </c>
      <c r="M13" s="664"/>
      <c r="N13" s="664"/>
      <c r="O13" s="664"/>
      <c r="P13" s="658"/>
      <c r="Q13" s="664"/>
      <c r="R13" s="658"/>
      <c r="S13" s="664"/>
      <c r="U13" s="665"/>
    </row>
    <row r="14" spans="1:21">
      <c r="C14" s="665"/>
      <c r="D14" s="665"/>
      <c r="E14" s="666" t="s">
        <v>941</v>
      </c>
      <c r="F14" s="666"/>
      <c r="I14" s="658"/>
      <c r="P14" s="658"/>
      <c r="R14" s="658"/>
      <c r="S14" s="663"/>
      <c r="T14" s="618"/>
      <c r="U14" s="665"/>
    </row>
    <row r="15" spans="1:21">
      <c r="A15" s="582" t="s">
        <v>691</v>
      </c>
      <c r="C15" s="665"/>
      <c r="D15" s="665"/>
      <c r="E15" s="667" t="s">
        <v>692</v>
      </c>
      <c r="F15" s="667"/>
      <c r="I15" s="630" t="s">
        <v>274</v>
      </c>
      <c r="L15" s="630" t="s">
        <v>296</v>
      </c>
      <c r="M15" s="630"/>
      <c r="N15" s="630"/>
      <c r="O15" s="630"/>
      <c r="P15" s="658"/>
      <c r="R15" s="656"/>
      <c r="S15" s="668"/>
      <c r="T15" s="618"/>
      <c r="U15" s="665"/>
    </row>
    <row r="16" spans="1:21">
      <c r="A16" s="582" t="s">
        <v>693</v>
      </c>
      <c r="C16" s="669"/>
      <c r="D16" s="669"/>
      <c r="E16" s="658"/>
      <c r="F16" s="658"/>
      <c r="I16" s="658"/>
      <c r="L16" s="658"/>
      <c r="M16" s="658"/>
      <c r="N16" s="658"/>
      <c r="O16" s="658"/>
      <c r="P16" s="658"/>
      <c r="Q16" s="658"/>
      <c r="R16" s="656"/>
      <c r="S16" s="658"/>
      <c r="U16" s="665"/>
    </row>
    <row r="17" spans="1:21">
      <c r="A17" s="670"/>
      <c r="C17" s="665"/>
      <c r="D17" s="665"/>
      <c r="E17" s="658"/>
      <c r="F17" s="658"/>
      <c r="I17" s="658"/>
      <c r="L17" s="658"/>
      <c r="M17" s="658"/>
      <c r="N17" s="658"/>
      <c r="O17" s="658"/>
      <c r="P17" s="658"/>
      <c r="Q17" s="658"/>
      <c r="R17" s="656"/>
      <c r="S17" s="658"/>
      <c r="U17" s="665"/>
    </row>
    <row r="18" spans="1:21">
      <c r="A18" s="671">
        <v>1</v>
      </c>
      <c r="C18" s="665" t="s">
        <v>694</v>
      </c>
      <c r="D18" s="665"/>
      <c r="E18" s="672" t="s">
        <v>943</v>
      </c>
      <c r="F18" s="671"/>
      <c r="I18" s="651">
        <f>+'9 - Rate Base'!C26</f>
        <v>1838575526.6599998</v>
      </c>
      <c r="P18" s="658"/>
      <c r="Q18" s="658"/>
      <c r="R18" s="656"/>
      <c r="S18" s="658"/>
      <c r="U18" s="665"/>
    </row>
    <row r="19" spans="1:21">
      <c r="A19" s="671">
        <v>2</v>
      </c>
      <c r="C19" s="665" t="s">
        <v>695</v>
      </c>
      <c r="D19" s="665"/>
      <c r="E19" s="672" t="s">
        <v>944</v>
      </c>
      <c r="F19" s="671"/>
      <c r="I19" s="651">
        <f>+'9 - Rate Base'!K26</f>
        <v>1240683770.4292307</v>
      </c>
      <c r="P19" s="658"/>
      <c r="Q19" s="658"/>
      <c r="R19" s="656"/>
      <c r="S19" s="658"/>
      <c r="U19" s="665"/>
    </row>
    <row r="20" spans="1:21">
      <c r="A20" s="671"/>
      <c r="E20" s="672"/>
      <c r="F20" s="671"/>
      <c r="P20" s="658"/>
      <c r="Q20" s="658"/>
      <c r="R20" s="656"/>
      <c r="S20" s="658"/>
      <c r="U20" s="665"/>
    </row>
    <row r="21" spans="1:21">
      <c r="A21" s="671"/>
      <c r="C21" s="665" t="s">
        <v>696</v>
      </c>
      <c r="D21" s="665"/>
      <c r="E21" s="672"/>
      <c r="F21" s="671"/>
      <c r="I21" s="658"/>
      <c r="L21" s="658"/>
      <c r="M21" s="658"/>
      <c r="N21" s="658"/>
      <c r="O21" s="658"/>
      <c r="P21" s="658"/>
      <c r="Q21" s="658"/>
      <c r="R21" s="658"/>
      <c r="S21" s="658"/>
      <c r="U21" s="665"/>
    </row>
    <row r="22" spans="1:21">
      <c r="A22" s="671">
        <v>3</v>
      </c>
      <c r="C22" s="665" t="s">
        <v>697</v>
      </c>
      <c r="D22" s="665"/>
      <c r="E22" s="672" t="s">
        <v>945</v>
      </c>
      <c r="F22" s="671"/>
      <c r="I22" s="651">
        <f>+'ATT H-9A'!H179</f>
        <v>57488998.207063451</v>
      </c>
      <c r="P22" s="658"/>
      <c r="Q22" s="658"/>
      <c r="R22" s="658"/>
      <c r="S22" s="658"/>
      <c r="U22" s="665"/>
    </row>
    <row r="23" spans="1:21">
      <c r="A23" s="671">
        <v>4</v>
      </c>
      <c r="C23" s="665" t="s">
        <v>698</v>
      </c>
      <c r="D23" s="665"/>
      <c r="E23" s="672" t="s">
        <v>699</v>
      </c>
      <c r="F23" s="671"/>
      <c r="I23" s="673">
        <f>IF(I$18=0,0,I22/I$18)</f>
        <v>3.1268227697721689E-2</v>
      </c>
      <c r="L23" s="674">
        <f>I23</f>
        <v>3.1268227697721689E-2</v>
      </c>
      <c r="M23" s="675"/>
      <c r="N23" s="675"/>
      <c r="O23" s="675"/>
      <c r="P23" s="658"/>
      <c r="Q23" s="676"/>
      <c r="R23" s="677"/>
      <c r="S23" s="678"/>
      <c r="U23" s="665"/>
    </row>
    <row r="24" spans="1:21">
      <c r="A24" s="671"/>
      <c r="C24" s="665"/>
      <c r="D24" s="665"/>
      <c r="E24" s="672"/>
      <c r="F24" s="671"/>
      <c r="I24" s="679"/>
      <c r="L24" s="674"/>
      <c r="M24" s="675"/>
      <c r="N24" s="675"/>
      <c r="O24" s="675"/>
      <c r="P24" s="658"/>
      <c r="Q24" s="676"/>
      <c r="R24" s="677"/>
      <c r="S24" s="678"/>
      <c r="U24" s="665"/>
    </row>
    <row r="25" spans="1:21">
      <c r="A25" s="664"/>
      <c r="C25" s="665" t="s">
        <v>700</v>
      </c>
      <c r="D25" s="665"/>
      <c r="E25" s="680"/>
      <c r="F25" s="681"/>
      <c r="I25" s="658"/>
      <c r="L25" s="673"/>
      <c r="M25" s="658"/>
      <c r="N25" s="658"/>
      <c r="O25" s="658"/>
      <c r="P25" s="658"/>
      <c r="Q25" s="676"/>
      <c r="R25" s="677"/>
      <c r="S25" s="678"/>
      <c r="U25" s="665"/>
    </row>
    <row r="26" spans="1:21">
      <c r="A26" s="664" t="s">
        <v>701</v>
      </c>
      <c r="C26" s="665" t="s">
        <v>702</v>
      </c>
      <c r="D26" s="665"/>
      <c r="E26" s="672" t="s">
        <v>1038</v>
      </c>
      <c r="F26" s="671"/>
      <c r="I26" s="651">
        <f>+'ATT H-9A'!H195+'ATT H-9A'!H201+'ATT H-9A'!H187</f>
        <v>6941129.1465165159</v>
      </c>
      <c r="L26" s="673"/>
      <c r="P26" s="658"/>
      <c r="Q26" s="676"/>
      <c r="R26" s="677"/>
      <c r="S26" s="678"/>
      <c r="U26" s="665"/>
    </row>
    <row r="27" spans="1:21">
      <c r="A27" s="664" t="s">
        <v>703</v>
      </c>
      <c r="C27" s="665" t="s">
        <v>704</v>
      </c>
      <c r="D27" s="665"/>
      <c r="E27" s="672" t="s">
        <v>705</v>
      </c>
      <c r="F27" s="671"/>
      <c r="I27" s="682">
        <f>IF(I26=0,0,I26/I18)</f>
        <v>3.7752755031640918E-3</v>
      </c>
      <c r="J27" s="682"/>
      <c r="K27" s="682"/>
      <c r="L27" s="674">
        <f>I27</f>
        <v>3.7752755031640918E-3</v>
      </c>
      <c r="M27" s="675"/>
      <c r="N27" s="675"/>
      <c r="O27" s="675"/>
      <c r="P27" s="658"/>
      <c r="Q27" s="676"/>
      <c r="R27" s="677"/>
      <c r="S27" s="678"/>
      <c r="U27" s="665"/>
    </row>
    <row r="28" spans="1:21">
      <c r="A28" s="671"/>
      <c r="C28" s="665"/>
      <c r="D28" s="665"/>
      <c r="E28" s="672"/>
      <c r="F28" s="671"/>
      <c r="I28" s="682"/>
      <c r="J28" s="682"/>
      <c r="K28" s="682"/>
      <c r="L28" s="674"/>
      <c r="M28" s="675"/>
      <c r="N28" s="675"/>
      <c r="O28" s="675"/>
      <c r="P28" s="658"/>
      <c r="Q28" s="676"/>
      <c r="R28" s="677"/>
      <c r="S28" s="678"/>
      <c r="U28" s="665"/>
    </row>
    <row r="29" spans="1:21">
      <c r="A29" s="664"/>
      <c r="C29" s="665" t="s">
        <v>706</v>
      </c>
      <c r="D29" s="665"/>
      <c r="E29" s="680"/>
      <c r="F29" s="681"/>
      <c r="I29" s="682"/>
      <c r="J29" s="682"/>
      <c r="K29" s="682"/>
      <c r="L29" s="673"/>
      <c r="M29" s="658"/>
      <c r="N29" s="658"/>
      <c r="O29" s="658"/>
      <c r="P29" s="658"/>
      <c r="Q29" s="658"/>
      <c r="R29" s="658"/>
      <c r="S29" s="658"/>
      <c r="U29" s="665"/>
    </row>
    <row r="30" spans="1:21">
      <c r="A30" s="664" t="s">
        <v>707</v>
      </c>
      <c r="C30" s="665" t="s">
        <v>708</v>
      </c>
      <c r="D30" s="665"/>
      <c r="E30" s="672" t="s">
        <v>946</v>
      </c>
      <c r="F30" s="671"/>
      <c r="I30" s="651">
        <f>+'ATT H-9A'!H210</f>
        <v>14717187.81290862</v>
      </c>
      <c r="J30" s="682"/>
      <c r="K30" s="682"/>
      <c r="L30" s="673"/>
      <c r="P30" s="658"/>
      <c r="Q30" s="668"/>
      <c r="R30" s="658"/>
      <c r="S30" s="671"/>
      <c r="T30" s="618"/>
      <c r="U30" s="665"/>
    </row>
    <row r="31" spans="1:21">
      <c r="A31" s="664" t="s">
        <v>709</v>
      </c>
      <c r="C31" s="665" t="s">
        <v>710</v>
      </c>
      <c r="D31" s="665"/>
      <c r="E31" s="672" t="s">
        <v>711</v>
      </c>
      <c r="F31" s="671"/>
      <c r="I31" s="682">
        <f>IF(I30=0,0,I30/I18)</f>
        <v>8.0046686141005113E-3</v>
      </c>
      <c r="J31" s="682"/>
      <c r="K31" s="682"/>
      <c r="L31" s="674">
        <f>I31</f>
        <v>8.0046686141005113E-3</v>
      </c>
      <c r="M31" s="675"/>
      <c r="N31" s="675"/>
      <c r="O31" s="675"/>
      <c r="P31" s="658"/>
      <c r="Q31" s="676"/>
      <c r="R31" s="658"/>
      <c r="S31" s="678"/>
      <c r="T31" s="618"/>
      <c r="U31" s="665"/>
    </row>
    <row r="32" spans="1:21">
      <c r="A32" s="664"/>
      <c r="C32" s="665"/>
      <c r="D32" s="665"/>
      <c r="E32" s="672"/>
      <c r="F32" s="671"/>
      <c r="I32" s="658"/>
      <c r="L32" s="673"/>
      <c r="M32" s="658"/>
      <c r="N32" s="658"/>
      <c r="O32" s="658"/>
      <c r="P32" s="658"/>
      <c r="U32" s="665"/>
    </row>
    <row r="33" spans="1:21">
      <c r="A33" s="664" t="s">
        <v>712</v>
      </c>
      <c r="C33" s="665" t="s">
        <v>919</v>
      </c>
      <c r="D33" s="665"/>
      <c r="E33" s="672" t="s">
        <v>1172</v>
      </c>
      <c r="F33" s="671"/>
      <c r="I33" s="651">
        <f>-'ATT H-9A'!H306</f>
        <v>-7723650.4767371677</v>
      </c>
      <c r="L33" s="673"/>
      <c r="M33" s="658"/>
      <c r="N33" s="658"/>
      <c r="O33" s="658"/>
      <c r="P33" s="658"/>
      <c r="U33" s="665"/>
    </row>
    <row r="34" spans="1:21">
      <c r="A34" s="664" t="s">
        <v>713</v>
      </c>
      <c r="C34" s="665" t="s">
        <v>714</v>
      </c>
      <c r="D34" s="665"/>
      <c r="E34" s="672" t="s">
        <v>715</v>
      </c>
      <c r="F34" s="671"/>
      <c r="I34" s="673">
        <f>IF(I$18=0,0,I33/I$18)</f>
        <v>-4.2008883316140598E-3</v>
      </c>
      <c r="L34" s="673">
        <f>+I34</f>
        <v>-4.2008883316140598E-3</v>
      </c>
      <c r="M34" s="658"/>
      <c r="N34" s="658"/>
      <c r="O34" s="658"/>
      <c r="P34" s="658"/>
      <c r="U34" s="665"/>
    </row>
    <row r="35" spans="1:21">
      <c r="A35" s="664"/>
      <c r="C35" s="665"/>
      <c r="D35" s="665"/>
      <c r="E35" s="672"/>
      <c r="F35" s="671"/>
      <c r="I35" s="658"/>
      <c r="L35" s="673"/>
      <c r="M35" s="658"/>
      <c r="N35" s="658"/>
      <c r="O35" s="658"/>
      <c r="P35" s="658"/>
      <c r="U35" s="665"/>
    </row>
    <row r="36" spans="1:21">
      <c r="A36" s="683" t="s">
        <v>716</v>
      </c>
      <c r="B36" s="684"/>
      <c r="C36" s="669" t="s">
        <v>717</v>
      </c>
      <c r="D36" s="669"/>
      <c r="E36" s="685" t="s">
        <v>718</v>
      </c>
      <c r="F36" s="666"/>
      <c r="I36" s="677"/>
      <c r="L36" s="686">
        <f>L23+L27+L31+L34</f>
        <v>3.8847283483372234E-2</v>
      </c>
      <c r="M36" s="687"/>
      <c r="N36" s="687"/>
      <c r="O36" s="687"/>
      <c r="P36" s="658"/>
      <c r="U36" s="665"/>
    </row>
    <row r="37" spans="1:21">
      <c r="A37" s="664"/>
      <c r="C37" s="665"/>
      <c r="D37" s="665"/>
      <c r="E37" s="672"/>
      <c r="F37" s="671"/>
      <c r="I37" s="658"/>
      <c r="L37" s="673"/>
      <c r="M37" s="658"/>
      <c r="N37" s="658"/>
      <c r="O37" s="658"/>
      <c r="P37" s="658"/>
      <c r="Q37" s="658"/>
      <c r="R37" s="658"/>
      <c r="S37" s="688"/>
      <c r="U37" s="665"/>
    </row>
    <row r="38" spans="1:21">
      <c r="A38" s="664"/>
      <c r="B38" s="689"/>
      <c r="C38" s="658" t="s">
        <v>686</v>
      </c>
      <c r="D38" s="658"/>
      <c r="E38" s="672"/>
      <c r="F38" s="671"/>
      <c r="I38" s="658"/>
      <c r="L38" s="673"/>
      <c r="M38" s="658"/>
      <c r="N38" s="658"/>
      <c r="O38" s="658"/>
      <c r="P38" s="690"/>
      <c r="Q38" s="689"/>
      <c r="T38" s="618"/>
      <c r="U38" s="658" t="s">
        <v>101</v>
      </c>
    </row>
    <row r="39" spans="1:21">
      <c r="A39" s="664" t="s">
        <v>719</v>
      </c>
      <c r="B39" s="689"/>
      <c r="C39" s="658" t="s">
        <v>241</v>
      </c>
      <c r="D39" s="658"/>
      <c r="E39" s="672" t="s">
        <v>947</v>
      </c>
      <c r="F39" s="671"/>
      <c r="I39" s="651">
        <f>+'ATT H-9A'!H293</f>
        <v>6164456.7322484571</v>
      </c>
      <c r="L39" s="673"/>
      <c r="M39" s="658"/>
      <c r="N39" s="658"/>
      <c r="O39" s="658"/>
      <c r="P39" s="690"/>
      <c r="Q39" s="689"/>
      <c r="T39" s="618"/>
      <c r="U39" s="658"/>
    </row>
    <row r="40" spans="1:21">
      <c r="A40" s="664" t="s">
        <v>720</v>
      </c>
      <c r="B40" s="689"/>
      <c r="C40" s="658" t="s">
        <v>721</v>
      </c>
      <c r="D40" s="658"/>
      <c r="E40" s="672" t="s">
        <v>722</v>
      </c>
      <c r="F40" s="671"/>
      <c r="I40" s="682">
        <f>IF(I19=0,0,I39/I19)</f>
        <v>4.9685962524647059E-3</v>
      </c>
      <c r="L40" s="674">
        <f>I40</f>
        <v>4.9685962524647059E-3</v>
      </c>
      <c r="M40" s="675"/>
      <c r="N40" s="675"/>
      <c r="O40" s="675"/>
      <c r="P40" s="690"/>
      <c r="Q40" s="689"/>
      <c r="R40" s="658"/>
      <c r="S40" s="658"/>
      <c r="T40" s="618"/>
      <c r="U40" s="658"/>
    </row>
    <row r="41" spans="1:21">
      <c r="A41" s="664"/>
      <c r="C41" s="658"/>
      <c r="D41" s="658"/>
      <c r="E41" s="672"/>
      <c r="F41" s="671"/>
      <c r="I41" s="658"/>
      <c r="L41" s="673"/>
      <c r="M41" s="658"/>
      <c r="N41" s="658"/>
      <c r="O41" s="658"/>
      <c r="P41" s="658"/>
      <c r="R41" s="656"/>
      <c r="S41" s="658"/>
      <c r="T41" s="617"/>
      <c r="U41" s="665"/>
    </row>
    <row r="42" spans="1:21">
      <c r="A42" s="664"/>
      <c r="C42" s="665" t="s">
        <v>723</v>
      </c>
      <c r="D42" s="665"/>
      <c r="E42" s="691"/>
      <c r="F42" s="692"/>
      <c r="L42" s="673"/>
      <c r="P42" s="658"/>
      <c r="R42" s="658"/>
      <c r="S42" s="658"/>
      <c r="U42" s="665"/>
    </row>
    <row r="43" spans="1:21">
      <c r="A43" s="664" t="s">
        <v>724</v>
      </c>
      <c r="C43" s="665" t="s">
        <v>725</v>
      </c>
      <c r="D43" s="665"/>
      <c r="E43" s="672" t="s">
        <v>948</v>
      </c>
      <c r="F43" s="671"/>
      <c r="I43" s="651">
        <f>+'ATT H-9A'!H292</f>
        <v>79271274.197534829</v>
      </c>
      <c r="L43" s="673"/>
      <c r="M43" s="658"/>
      <c r="N43" s="658"/>
      <c r="O43" s="658"/>
      <c r="P43" s="658"/>
      <c r="R43" s="658"/>
      <c r="S43" s="658"/>
      <c r="U43" s="665"/>
    </row>
    <row r="44" spans="1:21">
      <c r="A44" s="664" t="s">
        <v>726</v>
      </c>
      <c r="B44" s="689"/>
      <c r="C44" s="658" t="s">
        <v>727</v>
      </c>
      <c r="D44" s="658"/>
      <c r="E44" s="672" t="s">
        <v>728</v>
      </c>
      <c r="F44" s="671"/>
      <c r="I44" s="682">
        <f>IF(I19=0,0,I43/I19)</f>
        <v>6.3893214441025456E-2</v>
      </c>
      <c r="L44" s="674">
        <f>I44</f>
        <v>6.3893214441025456E-2</v>
      </c>
      <c r="M44" s="675"/>
      <c r="N44" s="675"/>
      <c r="O44" s="675"/>
      <c r="P44" s="658"/>
      <c r="S44" s="693"/>
      <c r="T44" s="618"/>
      <c r="U44" s="658"/>
    </row>
    <row r="45" spans="1:21">
      <c r="A45" s="664"/>
      <c r="C45" s="665"/>
      <c r="D45" s="665"/>
      <c r="E45" s="672"/>
      <c r="F45" s="671"/>
      <c r="I45" s="658"/>
      <c r="L45" s="673"/>
      <c r="M45" s="658"/>
      <c r="N45" s="658"/>
      <c r="O45" s="658"/>
      <c r="P45" s="658"/>
      <c r="Q45" s="692"/>
      <c r="R45" s="658"/>
      <c r="S45" s="658"/>
      <c r="U45" s="665"/>
    </row>
    <row r="46" spans="1:21">
      <c r="A46" s="683" t="s">
        <v>729</v>
      </c>
      <c r="B46" s="684"/>
      <c r="C46" s="669" t="s">
        <v>730</v>
      </c>
      <c r="D46" s="669"/>
      <c r="E46" s="685" t="s">
        <v>731</v>
      </c>
      <c r="F46" s="666"/>
      <c r="I46" s="682">
        <f>+I44+I40</f>
        <v>6.8861810693490164E-2</v>
      </c>
      <c r="L46" s="686">
        <f>L40+L44</f>
        <v>6.8861810693490164E-2</v>
      </c>
      <c r="M46" s="687"/>
      <c r="N46" s="687"/>
      <c r="O46" s="687"/>
      <c r="P46" s="658"/>
      <c r="Q46" s="692"/>
      <c r="R46" s="658"/>
      <c r="S46" s="658"/>
      <c r="U46" s="665"/>
    </row>
    <row r="47" spans="1:21">
      <c r="P47" s="694"/>
      <c r="Q47" s="694"/>
      <c r="R47" s="658"/>
      <c r="S47" s="658"/>
      <c r="U47" s="665"/>
    </row>
    <row r="48" spans="1:21">
      <c r="P48" s="694"/>
      <c r="Q48" s="694"/>
      <c r="R48" s="658"/>
      <c r="S48" s="658"/>
      <c r="U48" s="665"/>
    </row>
    <row r="49" spans="1:21">
      <c r="A49" s="695"/>
      <c r="C49" s="664"/>
      <c r="D49" s="664"/>
      <c r="E49" s="681"/>
      <c r="F49" s="681"/>
      <c r="G49" s="658"/>
      <c r="J49" s="679"/>
      <c r="P49" s="658"/>
      <c r="Q49" s="676"/>
      <c r="R49" s="696"/>
      <c r="S49" s="658"/>
      <c r="T49" s="618"/>
      <c r="U49" s="658"/>
    </row>
    <row r="50" spans="1:21">
      <c r="A50" s="582"/>
      <c r="G50" s="658"/>
      <c r="P50" s="658"/>
      <c r="Q50" s="658"/>
      <c r="R50" s="658"/>
      <c r="S50" s="658"/>
      <c r="T50" s="618"/>
      <c r="U50" s="658" t="s">
        <v>101</v>
      </c>
    </row>
    <row r="51" spans="1:21">
      <c r="Q51" s="650"/>
    </row>
    <row r="52" spans="1:21">
      <c r="Q52" s="650"/>
    </row>
    <row r="54" spans="1:21">
      <c r="A54" s="582"/>
      <c r="G54" s="658"/>
      <c r="P54" s="658"/>
      <c r="Q54" s="650"/>
      <c r="R54" s="658"/>
      <c r="S54" s="656"/>
      <c r="U54" s="665"/>
    </row>
    <row r="55" spans="1:21">
      <c r="A55" s="582"/>
      <c r="C55" s="665"/>
      <c r="D55" s="665"/>
      <c r="G55" s="681" t="s">
        <v>402</v>
      </c>
      <c r="H55" s="681"/>
      <c r="P55" s="658"/>
      <c r="Q55" s="650"/>
      <c r="R55" s="658"/>
      <c r="U55" s="665"/>
    </row>
    <row r="56" spans="1:21">
      <c r="A56" s="582"/>
      <c r="C56" s="665"/>
      <c r="D56" s="665"/>
      <c r="G56" s="1062" t="s">
        <v>1505</v>
      </c>
      <c r="H56" s="681"/>
      <c r="L56" s="658"/>
      <c r="M56" s="658"/>
      <c r="N56" s="658"/>
      <c r="O56" s="658"/>
      <c r="P56" s="658"/>
      <c r="R56" s="658"/>
      <c r="S56" s="656"/>
      <c r="U56" s="665"/>
    </row>
    <row r="57" spans="1:21" ht="14.25" customHeight="1">
      <c r="A57" s="582"/>
      <c r="G57" s="587" t="s">
        <v>343</v>
      </c>
      <c r="P57" s="658"/>
      <c r="R57" s="658"/>
      <c r="S57" s="656"/>
      <c r="U57" s="665"/>
    </row>
    <row r="58" spans="1:21">
      <c r="A58" s="582"/>
      <c r="H58" s="681"/>
      <c r="P58" s="658"/>
      <c r="Q58" s="658"/>
      <c r="R58" s="658"/>
      <c r="S58" s="656"/>
      <c r="U58" s="665"/>
    </row>
    <row r="59" spans="1:21">
      <c r="A59" s="582"/>
      <c r="E59" s="665"/>
      <c r="F59" s="665"/>
      <c r="G59" s="665"/>
      <c r="H59" s="665"/>
      <c r="I59" s="665"/>
      <c r="J59" s="665"/>
      <c r="K59" s="665"/>
      <c r="L59" s="665"/>
      <c r="M59" s="665"/>
      <c r="N59" s="665"/>
      <c r="O59" s="665"/>
      <c r="P59" s="665"/>
      <c r="Q59" s="665"/>
      <c r="R59" s="658"/>
      <c r="S59" s="656"/>
      <c r="U59" s="665"/>
    </row>
    <row r="60" spans="1:21">
      <c r="A60" s="582"/>
      <c r="E60" s="669"/>
      <c r="F60" s="669"/>
      <c r="H60" s="665"/>
      <c r="I60" s="656"/>
      <c r="J60" s="656"/>
      <c r="K60" s="656"/>
      <c r="L60" s="656"/>
      <c r="M60" s="656"/>
      <c r="N60" s="656"/>
      <c r="O60" s="656"/>
      <c r="P60" s="658"/>
      <c r="Q60" s="658"/>
      <c r="R60" s="658"/>
      <c r="S60" s="656"/>
      <c r="U60" s="665"/>
    </row>
    <row r="61" spans="1:21">
      <c r="A61" s="582"/>
      <c r="E61" s="669"/>
      <c r="F61" s="669"/>
      <c r="G61" s="669"/>
      <c r="H61" s="665"/>
      <c r="I61" s="656"/>
      <c r="J61" s="656"/>
      <c r="K61" s="656"/>
      <c r="L61" s="656"/>
      <c r="M61" s="656"/>
      <c r="N61" s="656"/>
      <c r="O61" s="656"/>
      <c r="P61" s="658"/>
      <c r="Q61" s="658"/>
      <c r="R61" s="658"/>
      <c r="S61" s="656"/>
      <c r="U61" s="665"/>
    </row>
    <row r="62" spans="1:21">
      <c r="A62" s="582"/>
      <c r="C62" s="697">
        <v>-1</v>
      </c>
      <c r="D62" s="697">
        <v>-2</v>
      </c>
      <c r="E62" s="697">
        <v>-3</v>
      </c>
      <c r="F62" s="697">
        <v>-4</v>
      </c>
      <c r="G62" s="697">
        <v>-5</v>
      </c>
      <c r="H62" s="697">
        <v>-6</v>
      </c>
      <c r="I62" s="697">
        <v>-7</v>
      </c>
      <c r="J62" s="697">
        <v>-8</v>
      </c>
      <c r="K62" s="697">
        <v>-9</v>
      </c>
      <c r="L62" s="697">
        <v>-10</v>
      </c>
      <c r="M62" s="697">
        <v>-11</v>
      </c>
      <c r="N62" s="697">
        <v>-12</v>
      </c>
      <c r="O62" s="697">
        <v>-13</v>
      </c>
      <c r="P62" s="698" t="s">
        <v>732</v>
      </c>
      <c r="Q62" s="698" t="s">
        <v>733</v>
      </c>
      <c r="U62" s="665"/>
    </row>
    <row r="63" spans="1:21" ht="53.25" customHeight="1">
      <c r="A63" s="699" t="s">
        <v>734</v>
      </c>
      <c r="B63" s="700"/>
      <c r="C63" s="1063" t="s">
        <v>1506</v>
      </c>
      <c r="D63" s="1064" t="s">
        <v>1507</v>
      </c>
      <c r="E63" s="701" t="s">
        <v>737</v>
      </c>
      <c r="F63" s="701" t="s">
        <v>717</v>
      </c>
      <c r="G63" s="702" t="s">
        <v>738</v>
      </c>
      <c r="H63" s="701" t="s">
        <v>739</v>
      </c>
      <c r="I63" s="701" t="s">
        <v>730</v>
      </c>
      <c r="J63" s="702" t="s">
        <v>740</v>
      </c>
      <c r="K63" s="701" t="s">
        <v>741</v>
      </c>
      <c r="L63" s="703" t="s">
        <v>742</v>
      </c>
      <c r="M63" s="703" t="s">
        <v>743</v>
      </c>
      <c r="N63" s="703" t="s">
        <v>744</v>
      </c>
      <c r="O63" s="703" t="s">
        <v>745</v>
      </c>
      <c r="P63" s="703" t="s">
        <v>746</v>
      </c>
      <c r="Q63" s="703" t="s">
        <v>747</v>
      </c>
      <c r="U63" s="665"/>
    </row>
    <row r="64" spans="1:21" ht="46.5" customHeight="1">
      <c r="A64" s="704"/>
      <c r="B64" s="705"/>
      <c r="C64" s="705"/>
      <c r="D64" s="705"/>
      <c r="E64" s="706" t="s">
        <v>82</v>
      </c>
      <c r="F64" s="706" t="s">
        <v>748</v>
      </c>
      <c r="G64" s="707" t="s">
        <v>749</v>
      </c>
      <c r="H64" s="706" t="s">
        <v>750</v>
      </c>
      <c r="I64" s="706" t="s">
        <v>751</v>
      </c>
      <c r="J64" s="707" t="s">
        <v>752</v>
      </c>
      <c r="K64" s="706" t="s">
        <v>753</v>
      </c>
      <c r="L64" s="707" t="s">
        <v>754</v>
      </c>
      <c r="M64" s="706" t="s">
        <v>755</v>
      </c>
      <c r="N64" s="708" t="s">
        <v>1917</v>
      </c>
      <c r="O64" s="709" t="s">
        <v>756</v>
      </c>
      <c r="P64" s="710" t="s">
        <v>757</v>
      </c>
      <c r="Q64" s="709" t="s">
        <v>890</v>
      </c>
      <c r="U64" s="665"/>
    </row>
    <row r="65" spans="1:21">
      <c r="A65" s="711"/>
      <c r="B65" s="656"/>
      <c r="C65" s="656"/>
      <c r="D65" s="656"/>
      <c r="E65" s="656"/>
      <c r="F65" s="656"/>
      <c r="G65" s="712"/>
      <c r="H65" s="656"/>
      <c r="I65" s="656"/>
      <c r="J65" s="712"/>
      <c r="K65" s="656"/>
      <c r="L65" s="712"/>
      <c r="M65" s="713"/>
      <c r="N65" s="712"/>
      <c r="O65" s="712"/>
      <c r="P65" s="658"/>
      <c r="Q65" s="714"/>
      <c r="U65" s="665"/>
    </row>
    <row r="66" spans="1:21">
      <c r="A66" s="715" t="s">
        <v>260</v>
      </c>
      <c r="B66" s="716"/>
      <c r="C66" s="716" t="s">
        <v>758</v>
      </c>
      <c r="D66" s="1069" t="s">
        <v>759</v>
      </c>
      <c r="E66" s="721">
        <f>+'9 - Rate Base'!C26-SUM('6-Project Rev Req'!E67:E83)</f>
        <v>1494391622.4699998</v>
      </c>
      <c r="F66" s="682">
        <f t="shared" ref="F66:F83" si="0">$L$36</f>
        <v>3.8847283483372234E-2</v>
      </c>
      <c r="G66" s="718">
        <f t="shared" ref="G66:G83" si="1">E66*F66</f>
        <v>58053054.993268661</v>
      </c>
      <c r="H66" s="721">
        <f>+'9 - Rate Base'!K26-SUM(H67:H83)</f>
        <v>972130459.92813551</v>
      </c>
      <c r="I66" s="682">
        <f>$L$46</f>
        <v>6.8861810693490164E-2</v>
      </c>
      <c r="J66" s="718">
        <f>H66*I66</f>
        <v>66942663.700946793</v>
      </c>
      <c r="K66" s="722">
        <f>+'ATT H-9A'!H185-SUM('6-Project Rev Req'!K67:K83)</f>
        <v>20958688.165999997</v>
      </c>
      <c r="L66" s="718">
        <f>G66+J66+K66</f>
        <v>145954406.86021546</v>
      </c>
      <c r="M66" s="723">
        <v>0</v>
      </c>
      <c r="N66" s="718">
        <v>0</v>
      </c>
      <c r="O66" s="718">
        <f>+L66+N66</f>
        <v>145954406.86021546</v>
      </c>
      <c r="P66" s="723"/>
      <c r="Q66" s="718">
        <f t="shared" ref="Q66:Q83" si="2">+O66+P66</f>
        <v>145954406.86021546</v>
      </c>
    </row>
    <row r="67" spans="1:21">
      <c r="A67" s="715" t="s">
        <v>202</v>
      </c>
      <c r="B67" s="716"/>
      <c r="C67" s="719" t="s">
        <v>872</v>
      </c>
      <c r="D67" s="720" t="s">
        <v>858</v>
      </c>
      <c r="E67" s="721">
        <f>+'7 - Cap Add WS'!E31</f>
        <v>33558380</v>
      </c>
      <c r="F67" s="682">
        <f t="shared" si="0"/>
        <v>3.8847283483372234E-2</v>
      </c>
      <c r="G67" s="718">
        <f t="shared" si="1"/>
        <v>1303651.9011027291</v>
      </c>
      <c r="H67" s="721">
        <f>AVERAGE('7 - Cap Add WS'!G61,'7 - Cap Add WS'!G59)</f>
        <v>23051411.023809511</v>
      </c>
      <c r="I67" s="682">
        <f t="shared" ref="I67:I83" si="3">$L$46</f>
        <v>6.8861810693490164E-2</v>
      </c>
      <c r="J67" s="718">
        <f t="shared" ref="J67:J83" si="4">H67*I67</f>
        <v>1587361.9021394029</v>
      </c>
      <c r="K67" s="722">
        <f>+'7 - Cap Add WS'!F61</f>
        <v>958810.85714285716</v>
      </c>
      <c r="L67" s="718">
        <f t="shared" ref="L67" si="5">G67+J67+K67</f>
        <v>3849824.6603849893</v>
      </c>
      <c r="M67" s="723">
        <f>+'7 - Cap Add WS'!E$28</f>
        <v>150</v>
      </c>
      <c r="N67" s="718">
        <f>IF(M67=150,'7 - Cap Add WS'!$H$65-'7 - Cap Add WS'!$H$64,0)</f>
        <v>182321.69383039</v>
      </c>
      <c r="O67" s="718">
        <f>+L67+N67</f>
        <v>4032146.3542153793</v>
      </c>
      <c r="P67" s="723"/>
      <c r="Q67" s="718">
        <f t="shared" si="2"/>
        <v>4032146.3542153793</v>
      </c>
    </row>
    <row r="68" spans="1:21">
      <c r="A68" s="715" t="s">
        <v>262</v>
      </c>
      <c r="B68" s="716"/>
      <c r="C68" s="719" t="s">
        <v>873</v>
      </c>
      <c r="D68" s="720" t="s">
        <v>861</v>
      </c>
      <c r="E68" s="721">
        <f>+'7 - Cap Add WS'!I31</f>
        <v>36700000</v>
      </c>
      <c r="F68" s="682">
        <f t="shared" si="0"/>
        <v>3.8847283483372234E-2</v>
      </c>
      <c r="G68" s="718">
        <f t="shared" si="1"/>
        <v>1425695.3038397611</v>
      </c>
      <c r="H68" s="721">
        <f>AVERAGE('7 - Cap Add WS'!K61,'7 - Cap Add WS'!K59)</f>
        <v>27437619.047619052</v>
      </c>
      <c r="I68" s="682">
        <f t="shared" si="3"/>
        <v>6.8861810693490164E-2</v>
      </c>
      <c r="J68" s="718">
        <f t="shared" si="4"/>
        <v>1889404.1287372431</v>
      </c>
      <c r="K68" s="722">
        <f>+'7 - Cap Add WS'!J61</f>
        <v>1048571.4285714285</v>
      </c>
      <c r="L68" s="718">
        <f>G68+J68+K68</f>
        <v>4363670.8611484328</v>
      </c>
      <c r="M68" s="723">
        <f>+'7 - Cap Add WS'!I$28</f>
        <v>150</v>
      </c>
      <c r="N68" s="718">
        <f>IF(M68=150,'7 - Cap Add WS'!$L$65-'7 - Cap Add WS'!$L$64,0)</f>
        <v>219059.0582665205</v>
      </c>
      <c r="O68" s="718">
        <f t="shared" ref="O68:O83" si="6">+L68+N68</f>
        <v>4582729.9194149533</v>
      </c>
      <c r="P68" s="723"/>
      <c r="Q68" s="718">
        <f t="shared" si="2"/>
        <v>4582729.9194149533</v>
      </c>
    </row>
    <row r="69" spans="1:21">
      <c r="A69" s="715" t="s">
        <v>263</v>
      </c>
      <c r="B69" s="716"/>
      <c r="C69" s="719" t="s">
        <v>874</v>
      </c>
      <c r="D69" s="720" t="s">
        <v>868</v>
      </c>
      <c r="E69" s="721">
        <f>+'7 - Cap Add WS'!M31</f>
        <v>20000000</v>
      </c>
      <c r="F69" s="682">
        <f t="shared" si="0"/>
        <v>3.8847283483372234E-2</v>
      </c>
      <c r="G69" s="718">
        <f t="shared" si="1"/>
        <v>776945.66966744466</v>
      </c>
      <c r="H69" s="721">
        <f>AVERAGE('7 - Cap Add WS'!O61,'7 - Cap Add WS'!O59)</f>
        <v>14952380.952380957</v>
      </c>
      <c r="I69" s="682">
        <f t="shared" si="3"/>
        <v>6.8861810693490164E-2</v>
      </c>
      <c r="J69" s="718">
        <f t="shared" si="4"/>
        <v>1029648.0265598056</v>
      </c>
      <c r="K69" s="722">
        <f>+'7 - Cap Add WS'!N61</f>
        <v>571428.57142857148</v>
      </c>
      <c r="L69" s="718">
        <f>G69+J69+K69</f>
        <v>2378022.2676558215</v>
      </c>
      <c r="M69" s="723">
        <f>+'7 - Cap Add WS'!M$28</f>
        <v>150</v>
      </c>
      <c r="N69" s="718">
        <f>IF(M69=150,'7 - Cap Add WS'!$P$65-'7 - Cap Add WS'!$P$64,0)</f>
        <v>119378.23338775011</v>
      </c>
      <c r="O69" s="718">
        <f t="shared" si="6"/>
        <v>2497400.5010435716</v>
      </c>
      <c r="P69" s="723"/>
      <c r="Q69" s="718">
        <f t="shared" si="2"/>
        <v>2497400.5010435716</v>
      </c>
    </row>
    <row r="70" spans="1:21">
      <c r="A70" s="715" t="s">
        <v>264</v>
      </c>
      <c r="B70" s="716"/>
      <c r="C70" s="719" t="s">
        <v>875</v>
      </c>
      <c r="D70" s="720" t="s">
        <v>869</v>
      </c>
      <c r="E70" s="721">
        <f>+'7 - Cap Add WS'!Q31</f>
        <v>2000000</v>
      </c>
      <c r="F70" s="682">
        <f t="shared" si="0"/>
        <v>3.8847283483372234E-2</v>
      </c>
      <c r="G70" s="718">
        <f t="shared" si="1"/>
        <v>77694.566966744474</v>
      </c>
      <c r="H70" s="721">
        <f>AVERAGE('7 - Cap Add WS'!S61,'7 - Cap Add WS'!S59)</f>
        <v>1495238.0952380961</v>
      </c>
      <c r="I70" s="682">
        <f t="shared" si="3"/>
        <v>6.8861810693490164E-2</v>
      </c>
      <c r="J70" s="718">
        <f t="shared" si="4"/>
        <v>102964.80265598059</v>
      </c>
      <c r="K70" s="722">
        <f>+'7 - Cap Add WS'!R61</f>
        <v>57142.857142857145</v>
      </c>
      <c r="L70" s="718">
        <f t="shared" ref="L70:L83" si="7">G70+J70+K70</f>
        <v>237802.22676558222</v>
      </c>
      <c r="M70" s="723">
        <f>+'7 - Cap Add WS'!Q$28</f>
        <v>0</v>
      </c>
      <c r="N70" s="718">
        <f>IF(M70=150,'7 - Cap Add WS'!$T$65-'7 - Cap Add WS'!$T$64,0)</f>
        <v>0</v>
      </c>
      <c r="O70" s="718">
        <f t="shared" si="6"/>
        <v>237802.22676558222</v>
      </c>
      <c r="P70" s="723"/>
      <c r="Q70" s="718">
        <f t="shared" si="2"/>
        <v>237802.22676558222</v>
      </c>
    </row>
    <row r="71" spans="1:21">
      <c r="A71" s="715" t="s">
        <v>266</v>
      </c>
      <c r="B71" s="716"/>
      <c r="C71" s="719" t="s">
        <v>876</v>
      </c>
      <c r="D71" s="720" t="s">
        <v>870</v>
      </c>
      <c r="E71" s="721">
        <f>+'7 - Cap Add WS'!U31</f>
        <v>2000000</v>
      </c>
      <c r="F71" s="682">
        <f t="shared" si="0"/>
        <v>3.8847283483372234E-2</v>
      </c>
      <c r="G71" s="718">
        <f t="shared" si="1"/>
        <v>77694.566966744474</v>
      </c>
      <c r="H71" s="721">
        <f>AVERAGE('7 - Cap Add WS'!W61,'7 - Cap Add WS'!W59)</f>
        <v>1495238.0952380961</v>
      </c>
      <c r="I71" s="682">
        <f t="shared" si="3"/>
        <v>6.8861810693490164E-2</v>
      </c>
      <c r="J71" s="718">
        <f t="shared" si="4"/>
        <v>102964.80265598059</v>
      </c>
      <c r="K71" s="722">
        <f>+'7 - Cap Add WS'!V61</f>
        <v>57142.857142857145</v>
      </c>
      <c r="L71" s="718">
        <f t="shared" si="7"/>
        <v>237802.22676558222</v>
      </c>
      <c r="M71" s="723">
        <f>+'7 - Cap Add WS'!U$28</f>
        <v>0</v>
      </c>
      <c r="N71" s="718">
        <f>IF(M71=150,'7 - Cap Add WS'!$X$65-'7 - Cap Add WS'!$X$64,0)</f>
        <v>0</v>
      </c>
      <c r="O71" s="718">
        <f t="shared" si="6"/>
        <v>237802.22676558222</v>
      </c>
      <c r="P71" s="723"/>
      <c r="Q71" s="718">
        <f t="shared" si="2"/>
        <v>237802.22676558222</v>
      </c>
    </row>
    <row r="72" spans="1:21">
      <c r="A72" s="715" t="s">
        <v>267</v>
      </c>
      <c r="B72" s="716"/>
      <c r="C72" s="719" t="s">
        <v>877</v>
      </c>
      <c r="D72" s="720" t="s">
        <v>871</v>
      </c>
      <c r="E72" s="721">
        <f>+'7 - Cap Add WS'!Y31</f>
        <v>2000000</v>
      </c>
      <c r="F72" s="682">
        <f t="shared" si="0"/>
        <v>3.8847283483372234E-2</v>
      </c>
      <c r="G72" s="718">
        <f t="shared" si="1"/>
        <v>77694.566966744474</v>
      </c>
      <c r="H72" s="721">
        <f>AVERAGE('7 - Cap Add WS'!AA61,'7 - Cap Add WS'!AA59)</f>
        <v>1495238.0952380961</v>
      </c>
      <c r="I72" s="682">
        <f t="shared" si="3"/>
        <v>6.8861810693490164E-2</v>
      </c>
      <c r="J72" s="718">
        <f t="shared" si="4"/>
        <v>102964.80265598059</v>
      </c>
      <c r="K72" s="722">
        <f>+'7 - Cap Add WS'!Z61</f>
        <v>57142.857142857145</v>
      </c>
      <c r="L72" s="718">
        <f t="shared" si="7"/>
        <v>237802.22676558222</v>
      </c>
      <c r="M72" s="723">
        <f>+'7 - Cap Add WS'!Y$28</f>
        <v>0</v>
      </c>
      <c r="N72" s="718">
        <f>IF(M72=150,'7 - Cap Add WS'!$AB$65-'7 - Cap Add WS'!$AB$64,0)</f>
        <v>0</v>
      </c>
      <c r="O72" s="718">
        <f t="shared" si="6"/>
        <v>237802.22676558222</v>
      </c>
      <c r="P72" s="723"/>
      <c r="Q72" s="718">
        <f t="shared" si="2"/>
        <v>237802.22676558222</v>
      </c>
    </row>
    <row r="73" spans="1:21">
      <c r="A73" s="715" t="s">
        <v>760</v>
      </c>
      <c r="B73" s="716"/>
      <c r="C73" s="719" t="s">
        <v>878</v>
      </c>
      <c r="D73" s="720" t="s">
        <v>862</v>
      </c>
      <c r="E73" s="721">
        <f>+'7 - Cap Add WS'!AC31</f>
        <v>2000000</v>
      </c>
      <c r="F73" s="682">
        <f t="shared" si="0"/>
        <v>3.8847283483372234E-2</v>
      </c>
      <c r="G73" s="718">
        <f t="shared" si="1"/>
        <v>77694.566966744474</v>
      </c>
      <c r="H73" s="721">
        <f>AVERAGE('7 - Cap Add WS'!AE61,'7 - Cap Add WS'!AE59)</f>
        <v>1514285.714285715</v>
      </c>
      <c r="I73" s="682">
        <f t="shared" si="3"/>
        <v>6.8861810693490164E-2</v>
      </c>
      <c r="J73" s="718">
        <f t="shared" si="4"/>
        <v>104276.45619299944</v>
      </c>
      <c r="K73" s="722">
        <f>+'7 - Cap Add WS'!AD61</f>
        <v>57142.857142857145</v>
      </c>
      <c r="L73" s="718">
        <f t="shared" si="7"/>
        <v>239113.88030260109</v>
      </c>
      <c r="M73" s="723">
        <f>+'7 - Cap Add WS'!AC$28</f>
        <v>0</v>
      </c>
      <c r="N73" s="718">
        <f>IF(M73=150,'7 - Cap Add WS'!$AF$65-'7 - Cap Add WS'!$AF$64,0)</f>
        <v>0</v>
      </c>
      <c r="O73" s="718">
        <f t="shared" si="6"/>
        <v>239113.88030260109</v>
      </c>
      <c r="P73" s="723"/>
      <c r="Q73" s="718">
        <f t="shared" si="2"/>
        <v>239113.88030260109</v>
      </c>
    </row>
    <row r="74" spans="1:21">
      <c r="A74" s="715" t="s">
        <v>761</v>
      </c>
      <c r="B74" s="716"/>
      <c r="C74" s="719" t="s">
        <v>879</v>
      </c>
      <c r="D74" s="720" t="s">
        <v>867</v>
      </c>
      <c r="E74" s="721">
        <f>+'7 - Cap Add WS'!AG31</f>
        <v>15875382</v>
      </c>
      <c r="F74" s="682">
        <f t="shared" si="0"/>
        <v>3.8847283483372234E-2</v>
      </c>
      <c r="G74" s="718">
        <f t="shared" si="1"/>
        <v>616715.46496082481</v>
      </c>
      <c r="H74" s="721">
        <f>AVERAGE('7 - Cap Add WS'!AI61,'7 - Cap Add WS'!AI59)</f>
        <v>12246723.257142857</v>
      </c>
      <c r="I74" s="682">
        <f t="shared" si="3"/>
        <v>6.8861810693490164E-2</v>
      </c>
      <c r="J74" s="718">
        <f t="shared" si="4"/>
        <v>843331.53854893462</v>
      </c>
      <c r="K74" s="722">
        <f>+'7 - Cap Add WS'!AH61</f>
        <v>453582.34285714285</v>
      </c>
      <c r="L74" s="718">
        <f t="shared" si="7"/>
        <v>1913629.3463669023</v>
      </c>
      <c r="M74" s="723">
        <f>+'7 - Cap Add WS'!AG$28</f>
        <v>150</v>
      </c>
      <c r="N74" s="718">
        <f>IF(M74=150,'7 - Cap Add WS'!$AJ$65-'7 - Cap Add WS'!$AJ$64,0)</f>
        <v>98095.328681269428</v>
      </c>
      <c r="O74" s="718">
        <f t="shared" si="6"/>
        <v>2011724.6750481718</v>
      </c>
      <c r="P74" s="723"/>
      <c r="Q74" s="718">
        <f t="shared" si="2"/>
        <v>2011724.6750481718</v>
      </c>
    </row>
    <row r="75" spans="1:21">
      <c r="A75" s="715" t="s">
        <v>762</v>
      </c>
      <c r="B75" s="716"/>
      <c r="C75" s="719" t="s">
        <v>880</v>
      </c>
      <c r="D75" s="720" t="s">
        <v>866</v>
      </c>
      <c r="E75" s="721">
        <f>+'7 - Cap Add WS'!AK31</f>
        <v>29544357</v>
      </c>
      <c r="F75" s="682">
        <f t="shared" si="0"/>
        <v>3.8847283483372234E-2</v>
      </c>
      <c r="G75" s="718">
        <f t="shared" si="1"/>
        <v>1147718.0117129527</v>
      </c>
      <c r="H75" s="721">
        <f>AVERAGE('7 - Cap Add WS'!AM61,'7 - Cap Add WS'!AM59)</f>
        <v>22791361.114285707</v>
      </c>
      <c r="I75" s="682">
        <f t="shared" si="3"/>
        <v>6.8861810693490164E-2</v>
      </c>
      <c r="J75" s="718">
        <f t="shared" si="4"/>
        <v>1569454.3944989154</v>
      </c>
      <c r="K75" s="722">
        <f>+'7 - Cap Add WS'!AL61</f>
        <v>844124.48571428575</v>
      </c>
      <c r="L75" s="718">
        <f t="shared" si="7"/>
        <v>3561296.8919261536</v>
      </c>
      <c r="M75" s="723">
        <f>+'7 - Cap Add WS'!AK$28</f>
        <v>150</v>
      </c>
      <c r="N75" s="718">
        <f>IF(M75=150,'7 - Cap Add WS'!$AN$65-'7 - Cap Add WS'!$AN$64,0)</f>
        <v>182557.08181332378</v>
      </c>
      <c r="O75" s="718">
        <f t="shared" si="6"/>
        <v>3743853.9737394773</v>
      </c>
      <c r="P75" s="723"/>
      <c r="Q75" s="718">
        <f t="shared" si="2"/>
        <v>3743853.9737394773</v>
      </c>
    </row>
    <row r="76" spans="1:21">
      <c r="A76" s="715" t="s">
        <v>763</v>
      </c>
      <c r="B76" s="716"/>
      <c r="C76" s="719" t="s">
        <v>881</v>
      </c>
      <c r="D76" s="720" t="s">
        <v>865</v>
      </c>
      <c r="E76" s="721">
        <f>+'7 - Cap Add WS'!AO31</f>
        <v>58581170</v>
      </c>
      <c r="F76" s="682">
        <f t="shared" si="0"/>
        <v>3.8847283483372234E-2</v>
      </c>
      <c r="G76" s="718">
        <f t="shared" si="1"/>
        <v>2275719.3177776211</v>
      </c>
      <c r="H76" s="721">
        <f>AVERAGE('7 - Cap Add WS'!AQ61,'7 - Cap Add WS'!AQ59)</f>
        <v>45191188.285714269</v>
      </c>
      <c r="I76" s="682">
        <f t="shared" si="3"/>
        <v>6.8861810693490164E-2</v>
      </c>
      <c r="J76" s="718">
        <f t="shared" si="4"/>
        <v>3111947.0527447262</v>
      </c>
      <c r="K76" s="722">
        <f>+'7 - Cap Add WS'!AP61</f>
        <v>1673747.7142857143</v>
      </c>
      <c r="L76" s="718">
        <f t="shared" si="7"/>
        <v>7061414.0848080618</v>
      </c>
      <c r="M76" s="723">
        <f>+'7 - Cap Add WS'!AO$28</f>
        <v>0</v>
      </c>
      <c r="N76" s="718">
        <f>IF(M76=150,'7 - Cap Add WS'!$AR$65-'7 - Cap Add WS'!$AR$64,0)</f>
        <v>0</v>
      </c>
      <c r="O76" s="718">
        <f t="shared" si="6"/>
        <v>7061414.0848080618</v>
      </c>
      <c r="P76" s="723"/>
      <c r="Q76" s="718">
        <f t="shared" si="2"/>
        <v>7061414.0848080618</v>
      </c>
    </row>
    <row r="77" spans="1:21">
      <c r="A77" s="715" t="s">
        <v>764</v>
      </c>
      <c r="B77" s="716"/>
      <c r="C77" s="719" t="s">
        <v>882</v>
      </c>
      <c r="D77" s="720" t="s">
        <v>864</v>
      </c>
      <c r="E77" s="721">
        <f>+'7 - Cap Add WS'!AS31</f>
        <v>5226954</v>
      </c>
      <c r="F77" s="682">
        <f t="shared" si="0"/>
        <v>3.8847283483372234E-2</v>
      </c>
      <c r="G77" s="718">
        <f t="shared" si="1"/>
        <v>203052.96379254645</v>
      </c>
      <c r="H77" s="721">
        <f>AVERAGE('7 - Cap Add WS'!AU61,'7 - Cap Add WS'!AU59)</f>
        <v>4032221.6571428557</v>
      </c>
      <c r="I77" s="682">
        <f t="shared" si="3"/>
        <v>6.8861810693490164E-2</v>
      </c>
      <c r="J77" s="718">
        <f t="shared" si="4"/>
        <v>277666.08442836255</v>
      </c>
      <c r="K77" s="722">
        <f>+'7 - Cap Add WS'!AT61</f>
        <v>149341.54285714286</v>
      </c>
      <c r="L77" s="718">
        <f t="shared" si="7"/>
        <v>630060.59107805183</v>
      </c>
      <c r="M77" s="723">
        <f>+'7 - Cap Add WS'!AS$28</f>
        <v>0</v>
      </c>
      <c r="N77" s="718">
        <f>IF(M77=150,'7 - Cap Add WS'!$AV$65-'7 - Cap Add WS'!$AV$64,0)</f>
        <v>0</v>
      </c>
      <c r="O77" s="718">
        <f t="shared" si="6"/>
        <v>630060.59107805183</v>
      </c>
      <c r="P77" s="723"/>
      <c r="Q77" s="718">
        <f t="shared" si="2"/>
        <v>630060.59107805183</v>
      </c>
    </row>
    <row r="78" spans="1:21">
      <c r="A78" s="715" t="s">
        <v>765</v>
      </c>
      <c r="B78" s="716"/>
      <c r="C78" s="719" t="s">
        <v>1169</v>
      </c>
      <c r="D78" s="720" t="s">
        <v>863</v>
      </c>
      <c r="E78" s="721">
        <f>+'7 - Cap Add WS'!AW31</f>
        <v>19021804</v>
      </c>
      <c r="F78" s="682">
        <f t="shared" si="0"/>
        <v>3.8847283483372234E-2</v>
      </c>
      <c r="G78" s="718">
        <f t="shared" si="1"/>
        <v>738945.41235314391</v>
      </c>
      <c r="H78" s="721">
        <f>AVERAGE('7 - Cap Add WS'!AY61,'7 - Cap Add WS'!AY59)</f>
        <v>15221583.914285712</v>
      </c>
      <c r="I78" s="682">
        <f t="shared" si="3"/>
        <v>6.8861810693490164E-2</v>
      </c>
      <c r="J78" s="718">
        <f t="shared" si="4"/>
        <v>1048185.8299606177</v>
      </c>
      <c r="K78" s="722">
        <f>+'7 - Cap Add WS'!AX61</f>
        <v>543480.11428571434</v>
      </c>
      <c r="L78" s="718">
        <f t="shared" si="7"/>
        <v>2330611.3565994762</v>
      </c>
      <c r="M78" s="723">
        <f>+'7 - Cap Add WS'!AW$28</f>
        <v>150</v>
      </c>
      <c r="N78" s="718">
        <f>IF(M78=150,'7 - Cap Add WS'!$AZ$65-'7 - Cap Add WS'!$AZ$64,0)</f>
        <v>122371.32993667293</v>
      </c>
      <c r="O78" s="718">
        <f t="shared" si="6"/>
        <v>2452982.6865361491</v>
      </c>
      <c r="P78" s="723"/>
      <c r="Q78" s="718">
        <f t="shared" si="2"/>
        <v>2452982.6865361491</v>
      </c>
    </row>
    <row r="79" spans="1:21">
      <c r="A79" s="649" t="s">
        <v>766</v>
      </c>
      <c r="B79" s="716"/>
      <c r="C79" s="719" t="s">
        <v>883</v>
      </c>
      <c r="D79" s="720" t="s">
        <v>859</v>
      </c>
      <c r="E79" s="721">
        <f>+'7 - Cap Add WS'!BA31</f>
        <v>51852352.189999998</v>
      </c>
      <c r="F79" s="682">
        <f t="shared" si="0"/>
        <v>3.8847283483372234E-2</v>
      </c>
      <c r="G79" s="718">
        <f t="shared" si="1"/>
        <v>2014323.024804587</v>
      </c>
      <c r="H79" s="721">
        <f>AVERAGE('7 - Cap Add WS'!BC61,'7 - Cap Add WS'!BC59)</f>
        <v>43422927.083952367</v>
      </c>
      <c r="I79" s="682">
        <f t="shared" si="3"/>
        <v>6.8861810693490164E-2</v>
      </c>
      <c r="J79" s="718">
        <f t="shared" si="4"/>
        <v>2990181.3846123549</v>
      </c>
      <c r="K79" s="722">
        <f>+'7 - Cap Add WS'!BB61</f>
        <v>1481495.7768571428</v>
      </c>
      <c r="L79" s="718">
        <f t="shared" si="7"/>
        <v>6486000.1862740852</v>
      </c>
      <c r="M79" s="723">
        <f>+'7 - Cap Add WS'!BA$28</f>
        <v>0</v>
      </c>
      <c r="N79" s="718">
        <f>IF(M79=150,'7 - Cap Add WS'!$BD$65-'7 - Cap Add WS'!$BD$64,0)</f>
        <v>0</v>
      </c>
      <c r="O79" s="718">
        <f t="shared" si="6"/>
        <v>6486000.1862740852</v>
      </c>
      <c r="P79" s="723"/>
      <c r="Q79" s="718">
        <f t="shared" si="2"/>
        <v>6486000.1862740852</v>
      </c>
    </row>
    <row r="80" spans="1:21">
      <c r="A80" s="715" t="s">
        <v>767</v>
      </c>
      <c r="B80" s="716"/>
      <c r="C80" s="719" t="s">
        <v>884</v>
      </c>
      <c r="D80" s="720" t="s">
        <v>860</v>
      </c>
      <c r="E80" s="721">
        <f>+'7 - Cap Add WS'!BE31</f>
        <v>8623505</v>
      </c>
      <c r="F80" s="682">
        <f t="shared" si="0"/>
        <v>3.8847283483372234E-2</v>
      </c>
      <c r="G80" s="718">
        <f t="shared" si="1"/>
        <v>334999.74335527787</v>
      </c>
      <c r="H80" s="721">
        <f>AVERAGE('7 - Cap Add WS'!BG61,'7 - Cap Add WS'!BG59)</f>
        <v>7320179.8790476173</v>
      </c>
      <c r="I80" s="682">
        <f t="shared" si="3"/>
        <v>6.8861810693490164E-2</v>
      </c>
      <c r="J80" s="718">
        <f t="shared" si="4"/>
        <v>504080.84107327275</v>
      </c>
      <c r="K80" s="722">
        <f>+'7 - Cap Add WS'!BF61</f>
        <v>246385.85714285713</v>
      </c>
      <c r="L80" s="718">
        <f t="shared" si="7"/>
        <v>1085466.4415714077</v>
      </c>
      <c r="M80" s="723">
        <f>+'7 - Cap Add WS'!BE$28</f>
        <v>0</v>
      </c>
      <c r="N80" s="718">
        <f>IF(M80=150,'7 - Cap Add WS'!$BH$65-'7 - Cap Add WS'!$BH$64,0)</f>
        <v>0</v>
      </c>
      <c r="O80" s="718">
        <f t="shared" si="6"/>
        <v>1085466.4415714077</v>
      </c>
      <c r="P80" s="723"/>
      <c r="Q80" s="718">
        <f t="shared" si="2"/>
        <v>1085466.4415714077</v>
      </c>
    </row>
    <row r="81" spans="1:17">
      <c r="A81" s="715" t="s">
        <v>768</v>
      </c>
      <c r="B81" s="716"/>
      <c r="C81" s="719" t="s">
        <v>1521</v>
      </c>
      <c r="D81" s="720" t="s">
        <v>1518</v>
      </c>
      <c r="E81" s="721">
        <f>+'7 - Cap Add WS'!BI31</f>
        <v>9000000</v>
      </c>
      <c r="F81" s="682">
        <f t="shared" si="0"/>
        <v>3.8847283483372234E-2</v>
      </c>
      <c r="G81" s="718">
        <f t="shared" si="1"/>
        <v>349625.55135035008</v>
      </c>
      <c r="H81" s="721">
        <f>AVERAGE('7 - Cap Add WS'!BK61,'7 - Cap Add WS'!BK59)</f>
        <v>6685714.2857142854</v>
      </c>
      <c r="I81" s="682">
        <f t="shared" si="3"/>
        <v>6.8861810693490164E-2</v>
      </c>
      <c r="J81" s="718">
        <f t="shared" si="4"/>
        <v>460390.39149361994</v>
      </c>
      <c r="K81" s="722">
        <f>+'7 - Cap Add WS'!BJ61</f>
        <v>257142.85714285713</v>
      </c>
      <c r="L81" s="718">
        <f t="shared" si="7"/>
        <v>1067158.7999868272</v>
      </c>
      <c r="M81" s="723">
        <f>+'7 - Cap Add WS'!BI$28</f>
        <v>0</v>
      </c>
      <c r="N81" s="718">
        <f>IF(M81=150,'7 - Cap Add WS'!$BL$65-'7 - Cap Add WS'!$BL$64,0)</f>
        <v>0</v>
      </c>
      <c r="O81" s="718">
        <f t="shared" si="6"/>
        <v>1067158.7999868272</v>
      </c>
      <c r="P81" s="723"/>
      <c r="Q81" s="718">
        <f t="shared" si="2"/>
        <v>1067158.7999868272</v>
      </c>
    </row>
    <row r="82" spans="1:17">
      <c r="A82" s="715" t="s">
        <v>769</v>
      </c>
      <c r="B82" s="716"/>
      <c r="C82" s="719" t="s">
        <v>1522</v>
      </c>
      <c r="D82" s="720" t="s">
        <v>1519</v>
      </c>
      <c r="E82" s="721">
        <f>+'7 - Cap Add WS'!BM31</f>
        <v>39000000</v>
      </c>
      <c r="F82" s="682">
        <f t="shared" si="0"/>
        <v>3.8847283483372234E-2</v>
      </c>
      <c r="G82" s="718">
        <f t="shared" si="1"/>
        <v>1515044.0558515172</v>
      </c>
      <c r="H82" s="721">
        <f>AVERAGE('7 - Cap Add WS'!BO61,'7 - Cap Add WS'!BO59)</f>
        <v>32314285.714285709</v>
      </c>
      <c r="I82" s="682">
        <f t="shared" si="3"/>
        <v>6.8861810693490164E-2</v>
      </c>
      <c r="J82" s="718">
        <f t="shared" si="4"/>
        <v>2225220.225552496</v>
      </c>
      <c r="K82" s="722">
        <f>+'7 - Cap Add WS'!BN61</f>
        <v>1114285.7142857143</v>
      </c>
      <c r="L82" s="718">
        <f t="shared" si="7"/>
        <v>4854549.9956897274</v>
      </c>
      <c r="M82" s="723">
        <f>+'7 - Cap Add WS'!BM$28</f>
        <v>0</v>
      </c>
      <c r="N82" s="718">
        <f>IF(M82=150,'7 - Cap Add WS'!$BP$65-'7 - Cap Add WS'!$BP$64,0)</f>
        <v>0</v>
      </c>
      <c r="O82" s="718">
        <f t="shared" si="6"/>
        <v>4854549.9956897274</v>
      </c>
      <c r="P82" s="723"/>
      <c r="Q82" s="718">
        <f t="shared" si="2"/>
        <v>4854549.9956897274</v>
      </c>
    </row>
    <row r="83" spans="1:17">
      <c r="A83" s="715" t="s">
        <v>770</v>
      </c>
      <c r="B83" s="716"/>
      <c r="C83" s="719" t="s">
        <v>1523</v>
      </c>
      <c r="D83" s="720" t="s">
        <v>1520</v>
      </c>
      <c r="E83" s="721">
        <f>+'7 - Cap Add WS'!BQ31</f>
        <v>9200000</v>
      </c>
      <c r="F83" s="682">
        <f t="shared" si="0"/>
        <v>3.8847283483372234E-2</v>
      </c>
      <c r="G83" s="718">
        <f t="shared" si="1"/>
        <v>357395.00804702454</v>
      </c>
      <c r="H83" s="721">
        <f>AVERAGE('7 - Cap Add WS'!BS61,'7 - Cap Add WS'!BS59)</f>
        <v>7885714.2857142854</v>
      </c>
      <c r="I83" s="682">
        <f t="shared" si="3"/>
        <v>6.8861810693490164E-2</v>
      </c>
      <c r="J83" s="718">
        <f t="shared" si="4"/>
        <v>543024.56432580808</v>
      </c>
      <c r="K83" s="722">
        <f>+'7 - Cap Add WS'!BR61</f>
        <v>262857.14285714284</v>
      </c>
      <c r="L83" s="718">
        <f t="shared" si="7"/>
        <v>1163276.7152299755</v>
      </c>
      <c r="M83" s="723">
        <f>+'7 - Cap Add WS'!BQ$28</f>
        <v>0</v>
      </c>
      <c r="N83" s="718">
        <f>IF(M83=150,'7 - Cap Add WS'!$BT$65-'7 - Cap Add WS'!$BT$64,0)</f>
        <v>0</v>
      </c>
      <c r="O83" s="718">
        <f t="shared" si="6"/>
        <v>1163276.7152299755</v>
      </c>
      <c r="P83" s="723"/>
      <c r="Q83" s="718">
        <f t="shared" si="2"/>
        <v>1163276.7152299755</v>
      </c>
    </row>
    <row r="84" spans="1:17">
      <c r="A84" s="715" t="s">
        <v>771</v>
      </c>
      <c r="B84" s="716"/>
      <c r="C84" s="719"/>
      <c r="D84" s="720"/>
      <c r="E84" s="721"/>
      <c r="F84" s="682"/>
      <c r="G84" s="717"/>
      <c r="H84" s="721"/>
      <c r="I84" s="682"/>
      <c r="J84" s="718"/>
      <c r="K84" s="722"/>
      <c r="L84" s="718"/>
      <c r="M84" s="723"/>
      <c r="N84" s="718"/>
      <c r="O84" s="718"/>
      <c r="P84" s="722"/>
      <c r="Q84" s="718"/>
    </row>
    <row r="85" spans="1:17">
      <c r="A85" s="649" t="s">
        <v>772</v>
      </c>
      <c r="B85" s="716"/>
      <c r="C85" s="728"/>
      <c r="D85" s="720"/>
      <c r="E85" s="721"/>
      <c r="F85" s="682"/>
      <c r="G85" s="717"/>
      <c r="H85" s="721"/>
      <c r="I85" s="682"/>
      <c r="J85" s="718"/>
      <c r="K85" s="722"/>
      <c r="L85" s="718"/>
      <c r="M85" s="723"/>
      <c r="N85" s="718"/>
      <c r="O85" s="718"/>
      <c r="P85" s="722"/>
      <c r="Q85" s="718"/>
    </row>
    <row r="86" spans="1:17">
      <c r="A86" s="715" t="s">
        <v>773</v>
      </c>
      <c r="B86" s="716"/>
      <c r="C86" s="719"/>
      <c r="D86" s="720"/>
      <c r="E86" s="721"/>
      <c r="F86" s="682"/>
      <c r="G86" s="717"/>
      <c r="H86" s="721"/>
      <c r="I86" s="682"/>
      <c r="J86" s="718"/>
      <c r="K86" s="722"/>
      <c r="L86" s="718"/>
      <c r="M86" s="723"/>
      <c r="N86" s="718"/>
      <c r="O86" s="718"/>
      <c r="P86" s="722"/>
      <c r="Q86" s="718"/>
    </row>
    <row r="87" spans="1:17">
      <c r="A87" s="715" t="s">
        <v>774</v>
      </c>
      <c r="B87" s="716"/>
      <c r="C87" s="719"/>
      <c r="D87" s="720"/>
      <c r="E87" s="721"/>
      <c r="F87" s="682"/>
      <c r="G87" s="717"/>
      <c r="H87" s="721"/>
      <c r="I87" s="682"/>
      <c r="J87" s="718"/>
      <c r="K87" s="722"/>
      <c r="L87" s="718"/>
      <c r="M87" s="723"/>
      <c r="N87" s="718"/>
      <c r="O87" s="718"/>
      <c r="P87" s="722"/>
      <c r="Q87" s="718"/>
    </row>
    <row r="88" spans="1:17">
      <c r="A88" s="715" t="s">
        <v>775</v>
      </c>
      <c r="C88" s="719"/>
      <c r="D88" s="720"/>
      <c r="E88" s="721"/>
      <c r="F88" s="682"/>
      <c r="G88" s="717"/>
      <c r="H88" s="721"/>
      <c r="I88" s="682"/>
      <c r="J88" s="718"/>
      <c r="K88" s="722"/>
      <c r="L88" s="718"/>
      <c r="M88" s="723"/>
      <c r="N88" s="718"/>
      <c r="O88" s="718"/>
      <c r="P88" s="722"/>
      <c r="Q88" s="718"/>
    </row>
    <row r="89" spans="1:17">
      <c r="A89" s="715" t="s">
        <v>776</v>
      </c>
      <c r="C89" s="728"/>
      <c r="D89" s="724"/>
      <c r="E89" s="721"/>
      <c r="F89" s="682"/>
      <c r="G89" s="717"/>
      <c r="H89" s="725"/>
      <c r="I89" s="682"/>
      <c r="J89" s="718"/>
      <c r="K89" s="726"/>
      <c r="L89" s="718"/>
      <c r="M89" s="723"/>
      <c r="N89" s="718"/>
      <c r="O89" s="718"/>
      <c r="P89" s="722"/>
      <c r="Q89" s="718"/>
    </row>
    <row r="90" spans="1:17">
      <c r="A90" s="715" t="s">
        <v>777</v>
      </c>
      <c r="C90" s="728"/>
      <c r="D90" s="728"/>
      <c r="E90" s="721"/>
      <c r="F90" s="682"/>
      <c r="G90" s="717"/>
      <c r="H90" s="721"/>
      <c r="I90" s="682"/>
      <c r="J90" s="718"/>
      <c r="K90" s="722"/>
      <c r="L90" s="718"/>
      <c r="M90" s="723"/>
      <c r="N90" s="718"/>
      <c r="O90" s="718"/>
      <c r="P90" s="722"/>
      <c r="Q90" s="718"/>
    </row>
    <row r="91" spans="1:17">
      <c r="A91" s="727"/>
      <c r="C91" s="728"/>
      <c r="D91" s="728"/>
      <c r="E91" s="721"/>
      <c r="F91" s="682"/>
      <c r="G91" s="717"/>
      <c r="H91" s="721"/>
      <c r="I91" s="682"/>
      <c r="J91" s="718"/>
      <c r="K91" s="722"/>
      <c r="L91" s="718"/>
      <c r="M91" s="723"/>
      <c r="N91" s="718"/>
      <c r="O91" s="718"/>
      <c r="P91" s="722"/>
      <c r="Q91" s="718"/>
    </row>
    <row r="92" spans="1:17">
      <c r="A92" s="729"/>
      <c r="B92" s="730"/>
      <c r="C92" s="731"/>
      <c r="D92" s="731"/>
      <c r="E92" s="731"/>
      <c r="F92" s="730"/>
      <c r="G92" s="732"/>
      <c r="H92" s="731"/>
      <c r="I92" s="730"/>
      <c r="J92" s="733"/>
      <c r="K92" s="734"/>
      <c r="L92" s="733"/>
      <c r="M92" s="735"/>
      <c r="N92" s="736"/>
      <c r="O92" s="736"/>
      <c r="P92" s="734"/>
      <c r="Q92" s="733"/>
    </row>
    <row r="93" spans="1:17">
      <c r="A93" s="683" t="s">
        <v>778</v>
      </c>
      <c r="B93" s="689"/>
      <c r="C93" s="665" t="s">
        <v>779</v>
      </c>
      <c r="D93" s="665"/>
      <c r="E93" s="651">
        <f>SUM(E66:E92)</f>
        <v>1838575526.6599998</v>
      </c>
      <c r="F93" s="651"/>
      <c r="G93" s="651">
        <f>SUM(G66:G92)</f>
        <v>71423664.689751416</v>
      </c>
      <c r="H93" s="651">
        <f>SUM(H66:H92)</f>
        <v>1240683770.4292309</v>
      </c>
      <c r="I93" s="658"/>
      <c r="J93" s="651">
        <f t="shared" ref="J93:O93" si="8">SUM(J66:J92)</f>
        <v>85435730.929783285</v>
      </c>
      <c r="K93" s="651">
        <f t="shared" si="8"/>
        <v>30792514</v>
      </c>
      <c r="L93" s="651">
        <f t="shared" si="8"/>
        <v>187651909.6195347</v>
      </c>
      <c r="M93" s="651"/>
      <c r="N93" s="651">
        <f t="shared" si="8"/>
        <v>923782.72591592674</v>
      </c>
      <c r="O93" s="651">
        <f t="shared" si="8"/>
        <v>188575692.34545064</v>
      </c>
      <c r="P93" s="651">
        <f>SUM(P66:P92)</f>
        <v>0</v>
      </c>
      <c r="Q93" s="651">
        <f>SUM(Q66:Q92)</f>
        <v>188575692.34545064</v>
      </c>
    </row>
    <row r="94" spans="1:17">
      <c r="E94" s="651"/>
      <c r="F94" s="651"/>
      <c r="G94" s="651"/>
      <c r="H94" s="651"/>
      <c r="I94" s="651"/>
      <c r="J94" s="651"/>
      <c r="K94" s="651"/>
      <c r="L94" s="682"/>
    </row>
    <row r="95" spans="1:17">
      <c r="A95" s="737"/>
      <c r="E95" s="651"/>
      <c r="F95" s="651"/>
      <c r="G95" s="651"/>
      <c r="H95" s="651"/>
      <c r="I95" s="651"/>
      <c r="J95" s="651"/>
      <c r="K95" s="651"/>
      <c r="L95" s="682"/>
      <c r="M95" s="693"/>
      <c r="N95" s="693"/>
      <c r="O95" s="693"/>
    </row>
    <row r="96" spans="1:17">
      <c r="K96" s="689"/>
      <c r="L96" s="689"/>
      <c r="M96" s="689"/>
      <c r="N96" s="689"/>
      <c r="O96" s="689"/>
    </row>
    <row r="97" spans="1:17">
      <c r="K97" s="689"/>
      <c r="L97" s="689"/>
      <c r="M97" s="689"/>
      <c r="N97" s="689"/>
      <c r="O97" s="689"/>
    </row>
    <row r="98" spans="1:17">
      <c r="A98" s="649" t="s">
        <v>780</v>
      </c>
    </row>
    <row r="99" spans="1:17" ht="13.5" thickBot="1">
      <c r="A99" s="738" t="s">
        <v>781</v>
      </c>
    </row>
    <row r="100" spans="1:17">
      <c r="A100" s="739" t="s">
        <v>9</v>
      </c>
      <c r="C100" s="1967" t="s">
        <v>782</v>
      </c>
      <c r="D100" s="1967"/>
      <c r="E100" s="1967"/>
      <c r="F100" s="1967"/>
      <c r="G100" s="1967"/>
      <c r="H100" s="1967"/>
      <c r="I100" s="1967"/>
      <c r="J100" s="1967"/>
      <c r="K100" s="1967"/>
      <c r="L100" s="1967"/>
      <c r="M100" s="1967"/>
      <c r="N100" s="1967"/>
      <c r="O100" s="1967"/>
      <c r="P100" s="1967"/>
      <c r="Q100" s="1967"/>
    </row>
    <row r="101" spans="1:17">
      <c r="A101" s="739" t="s">
        <v>10</v>
      </c>
      <c r="C101" s="1967" t="s">
        <v>783</v>
      </c>
      <c r="D101" s="1967"/>
      <c r="E101" s="1967"/>
      <c r="F101" s="1967"/>
      <c r="G101" s="1967"/>
      <c r="H101" s="1967"/>
      <c r="I101" s="1967"/>
      <c r="J101" s="1967"/>
      <c r="K101" s="1967"/>
      <c r="L101" s="1967"/>
      <c r="M101" s="1967"/>
      <c r="N101" s="1967"/>
      <c r="O101" s="1967"/>
      <c r="P101" s="1967"/>
      <c r="Q101" s="1967"/>
    </row>
    <row r="102" spans="1:17">
      <c r="A102" s="739" t="s">
        <v>11</v>
      </c>
      <c r="C102" s="1968" t="s">
        <v>784</v>
      </c>
      <c r="D102" s="1968"/>
      <c r="E102" s="1968"/>
      <c r="F102" s="1968"/>
      <c r="G102" s="1968"/>
      <c r="H102" s="1968"/>
      <c r="I102" s="1968"/>
      <c r="J102" s="1968"/>
      <c r="K102" s="1968"/>
      <c r="L102" s="1968"/>
      <c r="M102" s="1968"/>
      <c r="N102" s="1968"/>
      <c r="O102" s="1968"/>
      <c r="P102" s="1968"/>
      <c r="Q102" s="1968"/>
    </row>
    <row r="103" spans="1:17">
      <c r="C103" s="649" t="s">
        <v>785</v>
      </c>
    </row>
    <row r="104" spans="1:17">
      <c r="A104" s="739" t="s">
        <v>14</v>
      </c>
      <c r="C104" s="1968" t="s">
        <v>786</v>
      </c>
      <c r="D104" s="1968"/>
      <c r="E104" s="1968"/>
      <c r="F104" s="1968"/>
      <c r="G104" s="1968"/>
      <c r="H104" s="1968"/>
      <c r="I104" s="1968"/>
      <c r="J104" s="1968"/>
      <c r="K104" s="1968"/>
      <c r="L104" s="1968"/>
      <c r="M104" s="1968"/>
      <c r="N104" s="1968"/>
      <c r="O104" s="1968"/>
      <c r="P104" s="1968"/>
      <c r="Q104" s="1968"/>
    </row>
    <row r="105" spans="1:17">
      <c r="A105" s="681" t="s">
        <v>166</v>
      </c>
      <c r="C105" s="1965" t="s">
        <v>787</v>
      </c>
      <c r="D105" s="1965"/>
      <c r="E105" s="1965"/>
      <c r="F105" s="1965"/>
      <c r="G105" s="1965"/>
      <c r="H105" s="1965"/>
      <c r="I105" s="1965"/>
      <c r="J105" s="1965"/>
      <c r="K105" s="1965"/>
      <c r="L105" s="1965"/>
      <c r="M105" s="1965"/>
      <c r="N105" s="1965"/>
      <c r="O105" s="1965"/>
      <c r="P105" s="1965"/>
      <c r="Q105" s="1965"/>
    </row>
    <row r="106" spans="1:17">
      <c r="A106" s="681" t="s">
        <v>169</v>
      </c>
      <c r="C106" s="1965" t="s">
        <v>788</v>
      </c>
      <c r="D106" s="1965"/>
      <c r="E106" s="1965"/>
      <c r="F106" s="1965"/>
      <c r="G106" s="1965"/>
      <c r="H106" s="1965"/>
      <c r="I106" s="1965"/>
      <c r="J106" s="1965"/>
      <c r="K106" s="1965"/>
      <c r="L106" s="1965"/>
      <c r="M106" s="1965"/>
      <c r="N106" s="1965"/>
      <c r="O106" s="1965"/>
      <c r="P106" s="1965"/>
      <c r="Q106" s="1965"/>
    </row>
    <row r="107" spans="1:17">
      <c r="A107" s="681" t="s">
        <v>171</v>
      </c>
      <c r="C107" s="1965" t="s">
        <v>789</v>
      </c>
      <c r="D107" s="1965"/>
      <c r="E107" s="1965"/>
      <c r="F107" s="1965"/>
      <c r="G107" s="1965"/>
      <c r="H107" s="1965"/>
      <c r="I107" s="1965"/>
      <c r="J107" s="1965"/>
      <c r="K107" s="1965"/>
      <c r="L107" s="1965"/>
      <c r="M107" s="1965"/>
      <c r="N107" s="1965"/>
      <c r="O107" s="1965"/>
      <c r="P107" s="1965"/>
      <c r="Q107" s="1965"/>
    </row>
    <row r="108" spans="1:17">
      <c r="A108" s="681" t="s">
        <v>658</v>
      </c>
      <c r="C108" s="1965" t="s">
        <v>790</v>
      </c>
      <c r="D108" s="1965"/>
      <c r="E108" s="1965"/>
      <c r="F108" s="1965"/>
      <c r="G108" s="1965"/>
      <c r="H108" s="1965"/>
      <c r="I108" s="1965"/>
      <c r="J108" s="1965"/>
      <c r="K108" s="1965"/>
      <c r="L108" s="1965"/>
      <c r="M108" s="1965"/>
      <c r="N108" s="1965"/>
      <c r="O108" s="1965"/>
      <c r="P108" s="1965"/>
      <c r="Q108" s="1965"/>
    </row>
    <row r="109" spans="1:17">
      <c r="A109" s="681" t="s">
        <v>577</v>
      </c>
      <c r="C109" s="649" t="s">
        <v>791</v>
      </c>
    </row>
    <row r="110" spans="1:17">
      <c r="A110" s="664" t="s">
        <v>578</v>
      </c>
      <c r="C110" s="649" t="s">
        <v>792</v>
      </c>
      <c r="P110" s="658"/>
      <c r="Q110" s="696"/>
    </row>
    <row r="111" spans="1:17">
      <c r="A111" s="664" t="s">
        <v>579</v>
      </c>
      <c r="C111" s="649" t="s">
        <v>793</v>
      </c>
      <c r="D111" s="664"/>
      <c r="E111" s="681"/>
      <c r="F111" s="681"/>
      <c r="G111" s="658"/>
      <c r="J111" s="679"/>
      <c r="P111" s="658"/>
      <c r="Q111" s="676"/>
    </row>
    <row r="112" spans="1:17">
      <c r="A112" s="681" t="s">
        <v>583</v>
      </c>
      <c r="C112" s="740" t="s">
        <v>916</v>
      </c>
      <c r="G112" s="741"/>
    </row>
    <row r="113" spans="1:11">
      <c r="A113" s="681" t="s">
        <v>585</v>
      </c>
      <c r="C113" s="649" t="s">
        <v>794</v>
      </c>
      <c r="K113" s="741"/>
    </row>
    <row r="114" spans="1:11">
      <c r="A114" s="681" t="s">
        <v>588</v>
      </c>
      <c r="C114" s="649" t="s">
        <v>795</v>
      </c>
    </row>
    <row r="115" spans="1:11">
      <c r="C115" s="649" t="s">
        <v>796</v>
      </c>
    </row>
    <row r="116" spans="1:11" ht="12.75" customHeight="1">
      <c r="A116" s="681" t="s">
        <v>589</v>
      </c>
      <c r="C116" s="1966" t="s">
        <v>1918</v>
      </c>
      <c r="D116" s="1966"/>
      <c r="E116" s="1966"/>
      <c r="F116" s="1966"/>
      <c r="G116" s="1966"/>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2" orientation="portrait" r:id="rId2"/>
  <rowBreaks count="1" manualBreakCount="1">
    <brk id="5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view="pageBreakPreview" topLeftCell="A55" zoomScale="51" zoomScaleNormal="100" zoomScaleSheetLayoutView="51" workbookViewId="0">
      <selection activeCell="A55" sqref="A1:XFD1048576"/>
    </sheetView>
  </sheetViews>
  <sheetFormatPr defaultColWidth="11.453125" defaultRowHeight="13"/>
  <cols>
    <col min="1" max="1" width="7.7265625" style="649" customWidth="1"/>
    <col min="2" max="2" width="54.1796875" style="649" customWidth="1"/>
    <col min="3" max="3" width="21.81640625" style="649" customWidth="1"/>
    <col min="4" max="4" width="24" style="649" customWidth="1"/>
    <col min="5" max="5" width="28.54296875" style="649" customWidth="1"/>
    <col min="6" max="6" width="24" style="649" customWidth="1"/>
    <col min="7" max="7" width="23.54296875" style="649" customWidth="1"/>
    <col min="8" max="8" width="18.54296875" style="649" customWidth="1"/>
    <col min="9" max="9" width="23.81640625" style="649" customWidth="1"/>
    <col min="10" max="10" width="17.7265625" style="649" customWidth="1"/>
    <col min="11" max="11" width="18.54296875" style="649" customWidth="1"/>
    <col min="12" max="12" width="17.453125" style="649" customWidth="1"/>
    <col min="13" max="16384" width="11.453125" style="649"/>
  </cols>
  <sheetData>
    <row r="1" spans="1:13">
      <c r="J1" s="652"/>
    </row>
    <row r="5" spans="1:13">
      <c r="A5" s="742"/>
      <c r="D5" s="652"/>
      <c r="E5" s="582" t="s">
        <v>885</v>
      </c>
      <c r="F5" s="652"/>
      <c r="G5" s="652"/>
      <c r="I5" s="652"/>
      <c r="J5" s="652"/>
      <c r="K5" s="652"/>
      <c r="L5" s="653"/>
    </row>
    <row r="6" spans="1:13">
      <c r="A6" s="742"/>
      <c r="D6" s="652"/>
      <c r="E6" s="1065" t="s">
        <v>1508</v>
      </c>
      <c r="F6" s="658"/>
      <c r="G6" s="658"/>
      <c r="I6" s="658"/>
      <c r="J6" s="658"/>
      <c r="K6" s="658"/>
      <c r="L6" s="653"/>
    </row>
    <row r="7" spans="1:13">
      <c r="A7" s="742"/>
      <c r="C7" s="656"/>
      <c r="D7" s="656"/>
      <c r="E7" s="587" t="s">
        <v>343</v>
      </c>
      <c r="F7" s="656"/>
      <c r="G7" s="656"/>
      <c r="I7" s="656"/>
      <c r="J7" s="656"/>
      <c r="K7" s="656"/>
      <c r="L7" s="656"/>
    </row>
    <row r="8" spans="1:13" s="744" customFormat="1">
      <c r="A8" s="743"/>
      <c r="B8" s="649"/>
      <c r="C8" s="649"/>
      <c r="D8" s="649"/>
      <c r="E8" s="669"/>
      <c r="F8" s="669"/>
      <c r="G8" s="669"/>
      <c r="H8" s="649"/>
      <c r="I8" s="656"/>
      <c r="J8" s="656"/>
      <c r="K8" s="656"/>
      <c r="L8" s="656"/>
    </row>
    <row r="9" spans="1:13" s="744" customFormat="1">
      <c r="A9" s="745"/>
      <c r="B9" s="746"/>
      <c r="C9" s="746"/>
      <c r="D9" s="746"/>
      <c r="E9" s="746"/>
      <c r="F9" s="746"/>
      <c r="G9" s="746"/>
      <c r="H9" s="746"/>
      <c r="I9" s="746"/>
      <c r="J9" s="746"/>
      <c r="K9" s="747"/>
      <c r="L9" s="746"/>
    </row>
    <row r="10" spans="1:13" s="744" customFormat="1">
      <c r="A10" s="745"/>
      <c r="B10" s="746"/>
      <c r="C10" s="746"/>
      <c r="D10" s="1970" t="s">
        <v>797</v>
      </c>
      <c r="E10" s="1971"/>
      <c r="F10" s="748"/>
      <c r="G10" s="749" t="s">
        <v>798</v>
      </c>
      <c r="H10" s="748"/>
      <c r="I10" s="750"/>
      <c r="J10" s="750"/>
      <c r="K10" s="751"/>
    </row>
    <row r="11" spans="1:13" s="744" customFormat="1" ht="15.5">
      <c r="A11" s="745">
        <v>1</v>
      </c>
      <c r="B11" s="746" t="s">
        <v>799</v>
      </c>
      <c r="C11" s="746"/>
      <c r="D11" s="1972" t="s">
        <v>800</v>
      </c>
      <c r="E11" s="1973"/>
      <c r="F11" s="752" t="s">
        <v>801</v>
      </c>
      <c r="G11" s="753" t="s">
        <v>802</v>
      </c>
      <c r="H11" s="752" t="s">
        <v>803</v>
      </c>
      <c r="I11" s="754"/>
      <c r="J11" s="754"/>
      <c r="K11" s="755"/>
    </row>
    <row r="12" spans="1:13" s="744" customFormat="1">
      <c r="A12" s="745">
        <v>2</v>
      </c>
      <c r="B12" s="746"/>
      <c r="C12" s="746"/>
      <c r="D12" s="756"/>
      <c r="E12" s="756"/>
      <c r="F12" s="615">
        <f>+E77</f>
        <v>0</v>
      </c>
      <c r="G12" s="757"/>
      <c r="H12" s="756"/>
      <c r="I12" s="756"/>
      <c r="J12" s="756"/>
      <c r="K12" s="756"/>
    </row>
    <row r="13" spans="1:13" s="744" customFormat="1">
      <c r="B13" s="758" t="s">
        <v>9</v>
      </c>
      <c r="C13" s="758" t="s">
        <v>10</v>
      </c>
      <c r="D13" s="753" t="s">
        <v>11</v>
      </c>
      <c r="E13" s="753" t="s">
        <v>14</v>
      </c>
      <c r="F13" s="749" t="s">
        <v>166</v>
      </c>
      <c r="G13" s="758" t="s">
        <v>169</v>
      </c>
      <c r="H13" s="759" t="s">
        <v>171</v>
      </c>
      <c r="I13" s="759" t="s">
        <v>658</v>
      </c>
      <c r="J13" s="759" t="s">
        <v>577</v>
      </c>
      <c r="K13" s="753" t="s">
        <v>578</v>
      </c>
      <c r="M13" s="761"/>
    </row>
    <row r="14" spans="1:13" s="744" customFormat="1">
      <c r="A14" s="745"/>
      <c r="B14" s="756"/>
      <c r="C14" s="749"/>
      <c r="D14" s="749"/>
      <c r="E14" s="865" t="s">
        <v>804</v>
      </c>
      <c r="F14" s="749"/>
      <c r="G14" s="749"/>
      <c r="H14" s="756"/>
      <c r="I14" s="749"/>
      <c r="J14" s="756"/>
      <c r="K14" s="756"/>
    </row>
    <row r="15" spans="1:13" s="744" customFormat="1">
      <c r="A15" s="745"/>
      <c r="B15" s="756"/>
      <c r="C15" s="749"/>
      <c r="D15" s="759" t="s">
        <v>805</v>
      </c>
      <c r="E15" s="760" t="s">
        <v>59</v>
      </c>
      <c r="F15" s="759" t="s">
        <v>806</v>
      </c>
      <c r="G15" s="759" t="s">
        <v>807</v>
      </c>
      <c r="H15" s="759" t="s">
        <v>808</v>
      </c>
      <c r="I15" s="759"/>
      <c r="J15" s="759" t="s">
        <v>219</v>
      </c>
      <c r="K15" s="759"/>
    </row>
    <row r="16" spans="1:13" s="744" customFormat="1" ht="25.5" customHeight="1">
      <c r="A16" s="745"/>
      <c r="B16" s="1974" t="s">
        <v>1506</v>
      </c>
      <c r="C16" s="1976" t="s">
        <v>1507</v>
      </c>
      <c r="D16" s="759" t="s">
        <v>809</v>
      </c>
      <c r="E16" s="760" t="s">
        <v>58</v>
      </c>
      <c r="F16" s="759" t="s">
        <v>810</v>
      </c>
      <c r="G16" s="759" t="s">
        <v>809</v>
      </c>
      <c r="H16" s="759" t="s">
        <v>811</v>
      </c>
      <c r="I16" s="749" t="s">
        <v>812</v>
      </c>
      <c r="J16" s="759" t="s">
        <v>813</v>
      </c>
      <c r="K16" s="759" t="s">
        <v>814</v>
      </c>
    </row>
    <row r="17" spans="1:12" s="744" customFormat="1" ht="15.5">
      <c r="A17" s="745"/>
      <c r="B17" s="1975"/>
      <c r="C17" s="1977"/>
      <c r="D17" s="753" t="s">
        <v>815</v>
      </c>
      <c r="E17" s="760" t="s">
        <v>802</v>
      </c>
      <c r="F17" s="762" t="s">
        <v>816</v>
      </c>
      <c r="G17" s="759" t="s">
        <v>817</v>
      </c>
      <c r="H17" s="753" t="s">
        <v>818</v>
      </c>
      <c r="I17" s="759" t="s">
        <v>819</v>
      </c>
      <c r="J17" s="753" t="s">
        <v>820</v>
      </c>
      <c r="K17" s="753" t="s">
        <v>821</v>
      </c>
    </row>
    <row r="18" spans="1:12" s="744" customFormat="1">
      <c r="A18" s="745">
        <v>3</v>
      </c>
      <c r="B18" s="756" t="s">
        <v>759</v>
      </c>
      <c r="C18" s="851" t="s">
        <v>759</v>
      </c>
      <c r="D18" s="1735">
        <f>C81-SUM(D19:D35)</f>
        <v>0</v>
      </c>
      <c r="E18" s="1066">
        <f t="shared" ref="E18:E32" si="0">IF(D$46=0,0,D18/D$46)</f>
        <v>0</v>
      </c>
      <c r="F18" s="615">
        <f>IF(F$12=0,0,E18*F$12)</f>
        <v>0</v>
      </c>
      <c r="G18" s="1067">
        <f t="shared" ref="G18:G32" si="1">+$E$81*E18</f>
        <v>0</v>
      </c>
      <c r="H18" s="763">
        <f>+G18-F18</f>
        <v>0</v>
      </c>
      <c r="I18" s="1067">
        <v>0</v>
      </c>
      <c r="J18" s="1067" t="e">
        <f>+'6B - True-Up Interest '!G41</f>
        <v>#DIV/0!</v>
      </c>
      <c r="K18" s="764" t="e">
        <f>+H18+J18+I18</f>
        <v>#DIV/0!</v>
      </c>
    </row>
    <row r="19" spans="1:12" s="744" customFormat="1">
      <c r="A19" s="745" t="s">
        <v>822</v>
      </c>
      <c r="B19" s="852"/>
      <c r="C19" s="720"/>
      <c r="D19" s="1735"/>
      <c r="E19" s="769">
        <f t="shared" si="0"/>
        <v>0</v>
      </c>
      <c r="F19" s="615">
        <f t="shared" ref="F19:F32" si="2">IF(F$12=0,0,E19*F$12)</f>
        <v>0</v>
      </c>
      <c r="G19" s="765">
        <f t="shared" si="1"/>
        <v>0</v>
      </c>
      <c r="H19" s="763">
        <f>+G19-F19</f>
        <v>0</v>
      </c>
      <c r="I19" s="765">
        <v>0</v>
      </c>
      <c r="J19" s="765" t="e">
        <f>+'6B - True-Up Interest '!G42</f>
        <v>#DIV/0!</v>
      </c>
      <c r="K19" s="764" t="e">
        <f t="shared" ref="K19:K32" si="3">+H19+J19+I19</f>
        <v>#DIV/0!</v>
      </c>
    </row>
    <row r="20" spans="1:12" s="744" customFormat="1">
      <c r="A20" s="745" t="s">
        <v>823</v>
      </c>
      <c r="B20" s="852"/>
      <c r="C20" s="720"/>
      <c r="D20" s="1735"/>
      <c r="E20" s="769">
        <f t="shared" si="0"/>
        <v>0</v>
      </c>
      <c r="F20" s="615">
        <f t="shared" si="2"/>
        <v>0</v>
      </c>
      <c r="G20" s="765">
        <f t="shared" si="1"/>
        <v>0</v>
      </c>
      <c r="H20" s="763">
        <f t="shared" ref="H20:H32" si="4">+G20-F20</f>
        <v>0</v>
      </c>
      <c r="I20" s="765">
        <v>0</v>
      </c>
      <c r="J20" s="765" t="e">
        <f>+'6B - True-Up Interest '!G43</f>
        <v>#DIV/0!</v>
      </c>
      <c r="K20" s="764" t="e">
        <f t="shared" si="3"/>
        <v>#DIV/0!</v>
      </c>
    </row>
    <row r="21" spans="1:12" s="744" customFormat="1">
      <c r="A21" s="745" t="s">
        <v>824</v>
      </c>
      <c r="B21" s="852"/>
      <c r="C21" s="720"/>
      <c r="D21" s="1735"/>
      <c r="E21" s="769">
        <f t="shared" si="0"/>
        <v>0</v>
      </c>
      <c r="F21" s="615">
        <f t="shared" si="2"/>
        <v>0</v>
      </c>
      <c r="G21" s="765">
        <f t="shared" si="1"/>
        <v>0</v>
      </c>
      <c r="H21" s="763">
        <f t="shared" si="4"/>
        <v>0</v>
      </c>
      <c r="I21" s="765">
        <v>0</v>
      </c>
      <c r="J21" s="765" t="e">
        <f>+'6B - True-Up Interest '!G44</f>
        <v>#DIV/0!</v>
      </c>
      <c r="K21" s="764" t="e">
        <f t="shared" si="3"/>
        <v>#DIV/0!</v>
      </c>
    </row>
    <row r="22" spans="1:12" s="744" customFormat="1">
      <c r="A22" s="745" t="s">
        <v>825</v>
      </c>
      <c r="B22" s="852"/>
      <c r="C22" s="720"/>
      <c r="D22" s="1735"/>
      <c r="E22" s="769">
        <f t="shared" si="0"/>
        <v>0</v>
      </c>
      <c r="F22" s="615">
        <f t="shared" si="2"/>
        <v>0</v>
      </c>
      <c r="G22" s="765">
        <f t="shared" si="1"/>
        <v>0</v>
      </c>
      <c r="H22" s="763">
        <f t="shared" si="4"/>
        <v>0</v>
      </c>
      <c r="I22" s="765">
        <v>0</v>
      </c>
      <c r="J22" s="765" t="e">
        <f>+'6B - True-Up Interest '!G45</f>
        <v>#DIV/0!</v>
      </c>
      <c r="K22" s="764" t="e">
        <f t="shared" si="3"/>
        <v>#DIV/0!</v>
      </c>
    </row>
    <row r="23" spans="1:12">
      <c r="A23" s="745" t="s">
        <v>826</v>
      </c>
      <c r="B23" s="852"/>
      <c r="C23" s="720"/>
      <c r="D23" s="1735"/>
      <c r="E23" s="769">
        <f t="shared" si="0"/>
        <v>0</v>
      </c>
      <c r="F23" s="615">
        <f t="shared" si="2"/>
        <v>0</v>
      </c>
      <c r="G23" s="765">
        <f t="shared" si="1"/>
        <v>0</v>
      </c>
      <c r="H23" s="763">
        <f t="shared" si="4"/>
        <v>0</v>
      </c>
      <c r="I23" s="765">
        <v>0</v>
      </c>
      <c r="J23" s="765" t="e">
        <f>+'6B - True-Up Interest '!G46</f>
        <v>#DIV/0!</v>
      </c>
      <c r="K23" s="764" t="e">
        <f t="shared" si="3"/>
        <v>#DIV/0!</v>
      </c>
      <c r="L23" s="744"/>
    </row>
    <row r="24" spans="1:12">
      <c r="A24" s="745" t="s">
        <v>827</v>
      </c>
      <c r="B24" s="852"/>
      <c r="C24" s="720"/>
      <c r="D24" s="1735"/>
      <c r="E24" s="769">
        <f t="shared" si="0"/>
        <v>0</v>
      </c>
      <c r="F24" s="615">
        <f t="shared" si="2"/>
        <v>0</v>
      </c>
      <c r="G24" s="765">
        <f t="shared" si="1"/>
        <v>0</v>
      </c>
      <c r="H24" s="763">
        <f t="shared" si="4"/>
        <v>0</v>
      </c>
      <c r="I24" s="765">
        <v>0</v>
      </c>
      <c r="J24" s="765" t="e">
        <f>+'6B - True-Up Interest '!G47</f>
        <v>#DIV/0!</v>
      </c>
      <c r="K24" s="764" t="e">
        <f t="shared" si="3"/>
        <v>#DIV/0!</v>
      </c>
      <c r="L24" s="744"/>
    </row>
    <row r="25" spans="1:12">
      <c r="A25" s="745" t="s">
        <v>828</v>
      </c>
      <c r="B25" s="852"/>
      <c r="C25" s="720"/>
      <c r="D25" s="1735"/>
      <c r="E25" s="769">
        <f t="shared" si="0"/>
        <v>0</v>
      </c>
      <c r="F25" s="615">
        <f t="shared" si="2"/>
        <v>0</v>
      </c>
      <c r="G25" s="765">
        <f t="shared" si="1"/>
        <v>0</v>
      </c>
      <c r="H25" s="763">
        <f t="shared" si="4"/>
        <v>0</v>
      </c>
      <c r="I25" s="765">
        <v>0</v>
      </c>
      <c r="J25" s="765" t="e">
        <f>+'6B - True-Up Interest '!G48</f>
        <v>#DIV/0!</v>
      </c>
      <c r="K25" s="764" t="e">
        <f t="shared" si="3"/>
        <v>#DIV/0!</v>
      </c>
      <c r="L25" s="744"/>
    </row>
    <row r="26" spans="1:12" ht="12.75" customHeight="1">
      <c r="A26" s="745" t="s">
        <v>829</v>
      </c>
      <c r="B26" s="852"/>
      <c r="C26" s="720"/>
      <c r="D26" s="1735"/>
      <c r="E26" s="769">
        <f t="shared" si="0"/>
        <v>0</v>
      </c>
      <c r="F26" s="615">
        <f t="shared" si="2"/>
        <v>0</v>
      </c>
      <c r="G26" s="765">
        <f t="shared" si="1"/>
        <v>0</v>
      </c>
      <c r="H26" s="763">
        <f t="shared" si="4"/>
        <v>0</v>
      </c>
      <c r="I26" s="765">
        <v>0</v>
      </c>
      <c r="J26" s="765" t="e">
        <f>+'6B - True-Up Interest '!G49</f>
        <v>#DIV/0!</v>
      </c>
      <c r="K26" s="764" t="e">
        <f t="shared" si="3"/>
        <v>#DIV/0!</v>
      </c>
      <c r="L26" s="744"/>
    </row>
    <row r="27" spans="1:12">
      <c r="A27" s="745" t="s">
        <v>830</v>
      </c>
      <c r="B27" s="852"/>
      <c r="C27" s="720"/>
      <c r="D27" s="1735"/>
      <c r="E27" s="769">
        <f t="shared" si="0"/>
        <v>0</v>
      </c>
      <c r="F27" s="615">
        <f t="shared" si="2"/>
        <v>0</v>
      </c>
      <c r="G27" s="765">
        <f t="shared" si="1"/>
        <v>0</v>
      </c>
      <c r="H27" s="763">
        <f t="shared" si="4"/>
        <v>0</v>
      </c>
      <c r="I27" s="765">
        <v>0</v>
      </c>
      <c r="J27" s="765" t="e">
        <f>+'6B - True-Up Interest '!G50</f>
        <v>#DIV/0!</v>
      </c>
      <c r="K27" s="764" t="e">
        <f t="shared" si="3"/>
        <v>#DIV/0!</v>
      </c>
      <c r="L27" s="744"/>
    </row>
    <row r="28" spans="1:12">
      <c r="A28" s="745" t="s">
        <v>831</v>
      </c>
      <c r="B28" s="852"/>
      <c r="C28" s="720"/>
      <c r="D28" s="1735"/>
      <c r="E28" s="769">
        <f t="shared" si="0"/>
        <v>0</v>
      </c>
      <c r="F28" s="615">
        <f t="shared" si="2"/>
        <v>0</v>
      </c>
      <c r="G28" s="765">
        <f t="shared" si="1"/>
        <v>0</v>
      </c>
      <c r="H28" s="763">
        <f t="shared" si="4"/>
        <v>0</v>
      </c>
      <c r="I28" s="765">
        <v>0</v>
      </c>
      <c r="J28" s="765" t="e">
        <f>+'6B - True-Up Interest '!G51</f>
        <v>#DIV/0!</v>
      </c>
      <c r="K28" s="764" t="e">
        <f t="shared" si="3"/>
        <v>#DIV/0!</v>
      </c>
      <c r="L28" s="744"/>
    </row>
    <row r="29" spans="1:12">
      <c r="A29" s="745" t="s">
        <v>832</v>
      </c>
      <c r="B29" s="852"/>
      <c r="C29" s="720"/>
      <c r="D29" s="1735"/>
      <c r="E29" s="769">
        <f t="shared" si="0"/>
        <v>0</v>
      </c>
      <c r="F29" s="615">
        <f t="shared" si="2"/>
        <v>0</v>
      </c>
      <c r="G29" s="765">
        <f t="shared" si="1"/>
        <v>0</v>
      </c>
      <c r="H29" s="763">
        <f t="shared" si="4"/>
        <v>0</v>
      </c>
      <c r="I29" s="765">
        <v>0</v>
      </c>
      <c r="J29" s="765" t="e">
        <f>+'6B - True-Up Interest '!G52</f>
        <v>#DIV/0!</v>
      </c>
      <c r="K29" s="764" t="e">
        <f t="shared" si="3"/>
        <v>#DIV/0!</v>
      </c>
      <c r="L29" s="744"/>
    </row>
    <row r="30" spans="1:12">
      <c r="A30" s="745" t="s">
        <v>833</v>
      </c>
      <c r="B30" s="852"/>
      <c r="C30" s="720"/>
      <c r="D30" s="1735"/>
      <c r="E30" s="769">
        <f t="shared" si="0"/>
        <v>0</v>
      </c>
      <c r="F30" s="615">
        <f t="shared" si="2"/>
        <v>0</v>
      </c>
      <c r="G30" s="765">
        <f t="shared" si="1"/>
        <v>0</v>
      </c>
      <c r="H30" s="763">
        <f t="shared" si="4"/>
        <v>0</v>
      </c>
      <c r="I30" s="765">
        <v>0</v>
      </c>
      <c r="J30" s="765" t="e">
        <f>+'6B - True-Up Interest '!G53</f>
        <v>#DIV/0!</v>
      </c>
      <c r="K30" s="764" t="e">
        <f t="shared" si="3"/>
        <v>#DIV/0!</v>
      </c>
      <c r="L30" s="744"/>
    </row>
    <row r="31" spans="1:12">
      <c r="A31" s="745" t="s">
        <v>834</v>
      </c>
      <c r="B31" s="852"/>
      <c r="C31" s="720"/>
      <c r="D31" s="1735"/>
      <c r="E31" s="769">
        <f t="shared" si="0"/>
        <v>0</v>
      </c>
      <c r="F31" s="615">
        <f t="shared" si="2"/>
        <v>0</v>
      </c>
      <c r="G31" s="765">
        <f t="shared" si="1"/>
        <v>0</v>
      </c>
      <c r="H31" s="763">
        <f t="shared" si="4"/>
        <v>0</v>
      </c>
      <c r="I31" s="765">
        <v>0</v>
      </c>
      <c r="J31" s="765" t="e">
        <f>+'6B - True-Up Interest '!G54</f>
        <v>#DIV/0!</v>
      </c>
      <c r="K31" s="764" t="e">
        <f t="shared" si="3"/>
        <v>#DIV/0!</v>
      </c>
      <c r="L31" s="744"/>
    </row>
    <row r="32" spans="1:12">
      <c r="A32" s="745" t="s">
        <v>835</v>
      </c>
      <c r="B32" s="852"/>
      <c r="C32" s="720"/>
      <c r="D32" s="1735"/>
      <c r="E32" s="769">
        <f t="shared" si="0"/>
        <v>0</v>
      </c>
      <c r="F32" s="615">
        <f t="shared" si="2"/>
        <v>0</v>
      </c>
      <c r="G32" s="765">
        <f t="shared" si="1"/>
        <v>0</v>
      </c>
      <c r="H32" s="763">
        <f t="shared" si="4"/>
        <v>0</v>
      </c>
      <c r="I32" s="765">
        <v>0</v>
      </c>
      <c r="J32" s="765" t="e">
        <f>+'6B - True-Up Interest '!G55</f>
        <v>#DIV/0!</v>
      </c>
      <c r="K32" s="764" t="e">
        <f t="shared" si="3"/>
        <v>#DIV/0!</v>
      </c>
      <c r="L32" s="744"/>
    </row>
    <row r="33" spans="1:12">
      <c r="A33" s="745" t="s">
        <v>836</v>
      </c>
      <c r="B33" s="852"/>
      <c r="C33" s="720"/>
      <c r="D33" s="1735"/>
      <c r="E33" s="769">
        <f t="shared" ref="E33:E35" si="5">IF(D$46=0,0,D33/D$46)</f>
        <v>0</v>
      </c>
      <c r="F33" s="615">
        <f t="shared" ref="F33:F35" si="6">IF(F$12=0,0,E33*F$12)</f>
        <v>0</v>
      </c>
      <c r="G33" s="765">
        <f t="shared" ref="G33:G35" si="7">+$E$81*E33</f>
        <v>0</v>
      </c>
      <c r="H33" s="763">
        <f t="shared" ref="H33:H35" si="8">+G33-F33</f>
        <v>0</v>
      </c>
      <c r="I33" s="765">
        <v>0</v>
      </c>
      <c r="J33" s="765" t="e">
        <f>+'6B - True-Up Interest '!G56</f>
        <v>#DIV/0!</v>
      </c>
      <c r="K33" s="764" t="e">
        <f t="shared" ref="K33:K36" si="9">+H33+J33+I33</f>
        <v>#DIV/0!</v>
      </c>
      <c r="L33" s="744"/>
    </row>
    <row r="34" spans="1:12">
      <c r="A34" s="745" t="s">
        <v>837</v>
      </c>
      <c r="B34" s="852"/>
      <c r="C34" s="720"/>
      <c r="D34" s="1735"/>
      <c r="E34" s="769">
        <f t="shared" si="5"/>
        <v>0</v>
      </c>
      <c r="F34" s="615">
        <f t="shared" si="6"/>
        <v>0</v>
      </c>
      <c r="G34" s="765">
        <f t="shared" si="7"/>
        <v>0</v>
      </c>
      <c r="H34" s="763">
        <f t="shared" si="8"/>
        <v>0</v>
      </c>
      <c r="I34" s="765">
        <v>0</v>
      </c>
      <c r="J34" s="765" t="e">
        <f>+'6B - True-Up Interest '!G57</f>
        <v>#DIV/0!</v>
      </c>
      <c r="K34" s="764" t="e">
        <f t="shared" si="9"/>
        <v>#DIV/0!</v>
      </c>
      <c r="L34" s="744"/>
    </row>
    <row r="35" spans="1:12">
      <c r="A35" s="745" t="s">
        <v>838</v>
      </c>
      <c r="B35" s="852"/>
      <c r="C35" s="720"/>
      <c r="D35" s="1735"/>
      <c r="E35" s="769">
        <f t="shared" si="5"/>
        <v>0</v>
      </c>
      <c r="F35" s="615">
        <f t="shared" si="6"/>
        <v>0</v>
      </c>
      <c r="G35" s="765">
        <f t="shared" si="7"/>
        <v>0</v>
      </c>
      <c r="H35" s="763">
        <f t="shared" si="8"/>
        <v>0</v>
      </c>
      <c r="I35" s="765">
        <v>0</v>
      </c>
      <c r="J35" s="765" t="e">
        <f>+'6B - True-Up Interest '!G58</f>
        <v>#DIV/0!</v>
      </c>
      <c r="K35" s="764" t="e">
        <f t="shared" si="9"/>
        <v>#DIV/0!</v>
      </c>
      <c r="L35" s="744"/>
    </row>
    <row r="36" spans="1:12">
      <c r="A36" s="745" t="s">
        <v>839</v>
      </c>
      <c r="B36" s="852"/>
      <c r="C36" s="720"/>
      <c r="D36" s="1735"/>
      <c r="E36" s="769"/>
      <c r="F36" s="615"/>
      <c r="G36" s="1735"/>
      <c r="H36" s="763"/>
      <c r="I36" s="764"/>
      <c r="J36" s="1735" t="e">
        <f>'6B - True-Up Interest '!G59</f>
        <v>#DIV/0!</v>
      </c>
      <c r="K36" s="764" t="e">
        <f t="shared" si="9"/>
        <v>#DIV/0!</v>
      </c>
      <c r="L36" s="744"/>
    </row>
    <row r="37" spans="1:12">
      <c r="A37" s="745" t="s">
        <v>840</v>
      </c>
      <c r="B37" s="852"/>
      <c r="C37" s="720"/>
      <c r="D37" s="1735"/>
      <c r="E37" s="769"/>
      <c r="F37" s="615"/>
      <c r="G37" s="1735"/>
      <c r="H37" s="763"/>
      <c r="I37" s="763"/>
      <c r="J37" s="1735"/>
      <c r="K37" s="764"/>
      <c r="L37" s="744"/>
    </row>
    <row r="38" spans="1:12">
      <c r="A38" s="745" t="s">
        <v>841</v>
      </c>
      <c r="B38" s="852"/>
      <c r="C38" s="720"/>
      <c r="D38" s="765"/>
      <c r="E38" s="769"/>
      <c r="F38" s="615"/>
      <c r="G38" s="765"/>
      <c r="H38" s="763"/>
      <c r="I38" s="765"/>
      <c r="J38" s="765"/>
      <c r="K38" s="764"/>
    </row>
    <row r="39" spans="1:12">
      <c r="A39" s="745" t="s">
        <v>842</v>
      </c>
      <c r="B39" s="852"/>
      <c r="C39" s="720"/>
      <c r="D39" s="765"/>
      <c r="E39" s="769"/>
      <c r="F39" s="615"/>
      <c r="G39" s="765"/>
      <c r="H39" s="763"/>
      <c r="I39" s="765"/>
      <c r="J39" s="765"/>
      <c r="K39" s="764"/>
    </row>
    <row r="40" spans="1:12">
      <c r="A40" s="745" t="s">
        <v>843</v>
      </c>
      <c r="B40" s="852"/>
      <c r="C40" s="720"/>
      <c r="D40" s="766"/>
      <c r="E40" s="769"/>
      <c r="F40" s="615"/>
      <c r="G40" s="765"/>
      <c r="H40" s="763"/>
      <c r="I40" s="765"/>
      <c r="J40" s="765"/>
      <c r="K40" s="764"/>
    </row>
    <row r="41" spans="1:12">
      <c r="A41" s="745" t="s">
        <v>844</v>
      </c>
      <c r="B41" s="767"/>
      <c r="C41" s="853"/>
      <c r="D41" s="766"/>
      <c r="E41" s="769"/>
      <c r="F41" s="768"/>
      <c r="G41" s="765"/>
      <c r="H41" s="763"/>
      <c r="I41" s="765"/>
      <c r="J41" s="765"/>
      <c r="K41" s="764"/>
    </row>
    <row r="42" spans="1:12" ht="13.5" customHeight="1">
      <c r="A42" s="745" t="s">
        <v>845</v>
      </c>
      <c r="B42" s="767"/>
      <c r="C42" s="853"/>
      <c r="D42" s="766"/>
      <c r="E42" s="769"/>
      <c r="F42" s="768"/>
      <c r="G42" s="766"/>
      <c r="H42" s="769"/>
      <c r="I42" s="766"/>
      <c r="J42" s="766"/>
      <c r="K42" s="770"/>
    </row>
    <row r="43" spans="1:12" ht="13.5" customHeight="1">
      <c r="A43" s="745"/>
      <c r="B43" s="767"/>
      <c r="C43" s="853"/>
      <c r="D43" s="766"/>
      <c r="E43" s="769"/>
      <c r="F43" s="768"/>
      <c r="G43" s="766"/>
      <c r="H43" s="769"/>
      <c r="I43" s="766"/>
      <c r="J43" s="766"/>
      <c r="K43" s="770"/>
    </row>
    <row r="44" spans="1:12">
      <c r="A44" s="745"/>
      <c r="B44" s="767"/>
      <c r="C44" s="853"/>
      <c r="D44" s="766"/>
      <c r="E44" s="769"/>
      <c r="F44" s="768"/>
      <c r="G44" s="766"/>
      <c r="H44" s="769"/>
      <c r="I44" s="766"/>
      <c r="J44" s="766"/>
      <c r="K44" s="770"/>
    </row>
    <row r="45" spans="1:12">
      <c r="A45" s="745"/>
      <c r="B45" s="771"/>
      <c r="C45" s="772"/>
      <c r="D45" s="773"/>
      <c r="E45" s="854"/>
      <c r="F45" s="772"/>
      <c r="G45" s="773"/>
      <c r="H45" s="774"/>
      <c r="I45" s="771"/>
      <c r="J45" s="771"/>
      <c r="K45" s="771"/>
    </row>
    <row r="46" spans="1:12">
      <c r="A46" s="745">
        <v>4</v>
      </c>
      <c r="B46" s="746" t="s">
        <v>846</v>
      </c>
      <c r="C46" s="746"/>
      <c r="D46" s="775">
        <f>SUM(D18:D45)</f>
        <v>0</v>
      </c>
      <c r="E46" s="855">
        <f t="shared" ref="E46:K46" si="10">SUM(E18:E45)</f>
        <v>0</v>
      </c>
      <c r="F46" s="775">
        <f t="shared" si="10"/>
        <v>0</v>
      </c>
      <c r="G46" s="775">
        <f t="shared" si="10"/>
        <v>0</v>
      </c>
      <c r="H46" s="775">
        <f t="shared" si="10"/>
        <v>0</v>
      </c>
      <c r="I46" s="775">
        <f t="shared" si="10"/>
        <v>0</v>
      </c>
      <c r="J46" s="775" t="e">
        <f t="shared" si="10"/>
        <v>#DIV/0!</v>
      </c>
      <c r="K46" s="775" t="e">
        <f t="shared" si="10"/>
        <v>#DIV/0!</v>
      </c>
    </row>
    <row r="47" spans="1:12">
      <c r="A47" s="745"/>
      <c r="B47" s="746"/>
      <c r="C47" s="746"/>
      <c r="D47" s="776"/>
      <c r="E47" s="776"/>
      <c r="F47" s="776"/>
      <c r="G47" s="776"/>
      <c r="H47" s="776"/>
      <c r="I47" s="776"/>
      <c r="J47" s="776"/>
      <c r="K47" s="776"/>
    </row>
    <row r="48" spans="1:12">
      <c r="A48" s="745"/>
      <c r="B48" s="746"/>
      <c r="C48" s="746"/>
      <c r="D48" s="776"/>
      <c r="E48" s="776"/>
      <c r="F48" s="776"/>
      <c r="G48" s="776" t="s">
        <v>847</v>
      </c>
      <c r="H48" s="776"/>
      <c r="I48" s="776"/>
      <c r="J48" s="777" t="e">
        <f>'6B - True-Up Interest '!E26</f>
        <v>#DIV/0!</v>
      </c>
      <c r="K48" s="776"/>
    </row>
    <row r="49" spans="1:12">
      <c r="A49" s="745"/>
      <c r="B49" s="746"/>
      <c r="C49" s="746"/>
      <c r="D49" s="776"/>
      <c r="E49" s="776"/>
      <c r="F49" s="776"/>
      <c r="G49" s="776" t="s">
        <v>848</v>
      </c>
      <c r="H49" s="776"/>
      <c r="I49" s="776"/>
      <c r="J49" s="775" t="e">
        <f>+J46</f>
        <v>#DIV/0!</v>
      </c>
      <c r="K49" s="776"/>
    </row>
    <row r="50" spans="1:12">
      <c r="A50" s="745"/>
      <c r="B50" s="746" t="s">
        <v>651</v>
      </c>
      <c r="C50" s="746"/>
      <c r="D50" s="746"/>
      <c r="E50" s="746"/>
      <c r="F50" s="746"/>
      <c r="G50" s="746"/>
      <c r="H50" s="746"/>
      <c r="I50" s="746"/>
      <c r="J50" s="746"/>
      <c r="K50" s="746"/>
      <c r="L50" s="746" t="s">
        <v>1933</v>
      </c>
    </row>
    <row r="51" spans="1:12">
      <c r="A51" s="745"/>
      <c r="B51" s="746" t="s">
        <v>1004</v>
      </c>
      <c r="C51" s="746"/>
      <c r="D51" s="746"/>
      <c r="E51" s="746"/>
      <c r="F51" s="746"/>
      <c r="G51" s="746"/>
      <c r="H51" s="746"/>
      <c r="I51" s="746"/>
      <c r="J51" s="746"/>
      <c r="K51" s="746"/>
      <c r="L51" s="746"/>
    </row>
    <row r="52" spans="1:12">
      <c r="A52" s="745"/>
      <c r="B52" s="746" t="s">
        <v>1005</v>
      </c>
      <c r="C52" s="746"/>
      <c r="D52" s="746"/>
      <c r="E52" s="746"/>
      <c r="F52" s="746"/>
      <c r="G52" s="746"/>
      <c r="H52" s="746"/>
      <c r="I52" s="746"/>
      <c r="J52" s="746"/>
      <c r="K52" s="746"/>
      <c r="L52" s="746"/>
    </row>
    <row r="53" spans="1:12">
      <c r="A53" s="745"/>
      <c r="B53" s="746" t="s">
        <v>849</v>
      </c>
      <c r="C53" s="746"/>
      <c r="D53" s="746"/>
      <c r="E53" s="746"/>
      <c r="F53" s="746"/>
      <c r="G53" s="746"/>
      <c r="H53" s="746"/>
      <c r="I53" s="746"/>
      <c r="J53" s="746"/>
      <c r="K53" s="746"/>
      <c r="L53" s="746"/>
    </row>
    <row r="54" spans="1:12">
      <c r="A54" s="745"/>
      <c r="B54" s="649" t="s">
        <v>850</v>
      </c>
      <c r="C54" s="746"/>
      <c r="D54" s="746"/>
      <c r="E54" s="746"/>
      <c r="F54" s="746"/>
      <c r="G54" s="746"/>
      <c r="H54" s="746"/>
      <c r="I54" s="746"/>
      <c r="J54" s="746"/>
      <c r="K54" s="746"/>
      <c r="L54" s="746"/>
    </row>
    <row r="55" spans="1:12">
      <c r="A55" s="745"/>
      <c r="B55" s="649" t="s">
        <v>851</v>
      </c>
      <c r="C55" s="746"/>
      <c r="D55" s="746"/>
      <c r="E55" s="746"/>
      <c r="F55" s="746"/>
      <c r="G55" s="746"/>
      <c r="H55" s="746"/>
      <c r="I55" s="746"/>
      <c r="J55" s="746"/>
      <c r="K55" s="746"/>
      <c r="L55" s="746"/>
    </row>
    <row r="56" spans="1:12">
      <c r="A56" s="745"/>
      <c r="B56" s="746" t="s">
        <v>852</v>
      </c>
      <c r="C56" s="746"/>
      <c r="D56" s="746"/>
      <c r="E56" s="746"/>
      <c r="F56" s="746"/>
      <c r="G56" s="746"/>
      <c r="H56" s="746"/>
      <c r="I56" s="746"/>
      <c r="J56" s="746"/>
      <c r="K56" s="746"/>
      <c r="L56" s="746"/>
    </row>
    <row r="57" spans="1:12">
      <c r="A57" s="745"/>
      <c r="B57" s="778" t="s">
        <v>853</v>
      </c>
      <c r="C57" s="746"/>
      <c r="D57" s="746"/>
      <c r="E57" s="746"/>
      <c r="F57" s="746"/>
      <c r="G57" s="746"/>
      <c r="H57" s="746"/>
      <c r="I57" s="746"/>
      <c r="J57" s="746"/>
      <c r="K57" s="746"/>
      <c r="L57" s="746"/>
    </row>
    <row r="58" spans="1:12">
      <c r="A58" s="745"/>
      <c r="J58" s="746"/>
      <c r="K58" s="746"/>
      <c r="L58" s="746"/>
    </row>
    <row r="59" spans="1:12">
      <c r="A59" s="745"/>
      <c r="C59" s="746"/>
      <c r="D59" s="746"/>
      <c r="E59" s="746"/>
      <c r="F59" s="746"/>
      <c r="G59" s="746"/>
      <c r="H59" s="746"/>
      <c r="I59" s="746"/>
      <c r="J59" s="746"/>
      <c r="K59" s="746"/>
      <c r="L59" s="746"/>
    </row>
    <row r="60" spans="1:12">
      <c r="A60" s="745"/>
      <c r="C60" s="746"/>
      <c r="D60" s="746"/>
      <c r="E60" s="746"/>
      <c r="F60" s="746"/>
      <c r="G60" s="746"/>
      <c r="H60" s="746"/>
      <c r="I60" s="746"/>
      <c r="J60" s="746"/>
      <c r="K60" s="746"/>
      <c r="L60" s="746"/>
    </row>
    <row r="61" spans="1:12">
      <c r="A61" s="745"/>
      <c r="B61" s="779"/>
      <c r="C61" s="779"/>
      <c r="D61" s="780"/>
      <c r="E61" s="780"/>
      <c r="F61" s="780"/>
      <c r="G61" s="780"/>
      <c r="H61" s="780"/>
      <c r="I61" s="779"/>
      <c r="J61" s="779"/>
    </row>
    <row r="62" spans="1:12">
      <c r="A62" s="781" t="s">
        <v>854</v>
      </c>
      <c r="C62" s="779"/>
      <c r="D62" s="780"/>
      <c r="E62" s="780"/>
      <c r="F62" s="780"/>
      <c r="G62" s="780"/>
      <c r="H62" s="780"/>
      <c r="I62" s="779"/>
      <c r="J62" s="779"/>
    </row>
    <row r="63" spans="1:12">
      <c r="A63" s="745"/>
      <c r="B63" s="681" t="s">
        <v>617</v>
      </c>
      <c r="C63" s="782" t="s">
        <v>618</v>
      </c>
      <c r="D63" s="783" t="s">
        <v>619</v>
      </c>
      <c r="E63" s="783" t="s">
        <v>620</v>
      </c>
      <c r="F63" s="681"/>
      <c r="J63" s="779"/>
    </row>
    <row r="64" spans="1:12">
      <c r="A64" s="745"/>
      <c r="B64" s="784" t="str">
        <f>+A62</f>
        <v>Prior Period Adjustments</v>
      </c>
      <c r="C64" s="785" t="s">
        <v>128</v>
      </c>
      <c r="D64" s="785" t="s">
        <v>219</v>
      </c>
      <c r="E64" s="785" t="s">
        <v>59</v>
      </c>
      <c r="J64" s="779"/>
    </row>
    <row r="65" spans="1:10">
      <c r="A65" s="745"/>
      <c r="B65" s="786" t="s">
        <v>422</v>
      </c>
      <c r="C65" s="787" t="s">
        <v>855</v>
      </c>
      <c r="D65" s="786" t="s">
        <v>422</v>
      </c>
      <c r="E65" s="787" t="s">
        <v>856</v>
      </c>
      <c r="J65" s="779"/>
    </row>
    <row r="66" spans="1:10">
      <c r="A66" s="745" t="s">
        <v>701</v>
      </c>
      <c r="B66" s="788" t="s">
        <v>1969</v>
      </c>
      <c r="C66" s="789">
        <f>SUM(I36:I38)</f>
        <v>0</v>
      </c>
      <c r="D66" s="789"/>
      <c r="E66" s="789">
        <f>+C66+D66</f>
        <v>0</v>
      </c>
      <c r="J66" s="779"/>
    </row>
    <row r="67" spans="1:10">
      <c r="A67" s="745"/>
      <c r="B67" s="790"/>
      <c r="C67" s="732"/>
      <c r="D67" s="732"/>
      <c r="E67" s="733"/>
      <c r="J67" s="779"/>
    </row>
    <row r="68" spans="1:10">
      <c r="A68" s="745"/>
      <c r="B68" s="681"/>
      <c r="E68" s="651"/>
      <c r="J68" s="779"/>
    </row>
    <row r="69" spans="1:10">
      <c r="A69" s="745"/>
      <c r="B69" s="681"/>
      <c r="E69" s="651"/>
      <c r="J69" s="779"/>
    </row>
    <row r="70" spans="1:10">
      <c r="A70" s="745"/>
      <c r="C70" s="779"/>
      <c r="D70" s="779"/>
      <c r="E70" s="779"/>
      <c r="F70" s="779"/>
      <c r="G70" s="779"/>
      <c r="H70" s="791"/>
      <c r="J70" s="779"/>
    </row>
    <row r="71" spans="1:10">
      <c r="A71" s="745">
        <v>6</v>
      </c>
      <c r="B71" s="163" t="s">
        <v>1171</v>
      </c>
      <c r="C71" s="161"/>
      <c r="D71" s="161"/>
      <c r="E71" s="161"/>
      <c r="F71" s="161"/>
      <c r="G71" s="779"/>
      <c r="H71" s="791"/>
      <c r="J71" s="779"/>
    </row>
    <row r="72" spans="1:10">
      <c r="A72" s="745"/>
      <c r="B72" s="163"/>
      <c r="C72" s="161"/>
      <c r="D72" s="161"/>
      <c r="E72" s="161"/>
      <c r="F72" s="161"/>
      <c r="G72" s="779"/>
      <c r="H72" s="791"/>
      <c r="J72" s="779"/>
    </row>
    <row r="73" spans="1:10" ht="14.5">
      <c r="A73" s="745">
        <v>7</v>
      </c>
      <c r="B73" s="163"/>
      <c r="C73" s="160" t="s">
        <v>216</v>
      </c>
      <c r="D73" s="160" t="s">
        <v>217</v>
      </c>
      <c r="E73" s="160" t="s">
        <v>218</v>
      </c>
      <c r="F73"/>
      <c r="G73"/>
      <c r="H73" s="791"/>
      <c r="J73" s="779"/>
    </row>
    <row r="74" spans="1:10" ht="14.5">
      <c r="A74" s="745">
        <v>8</v>
      </c>
      <c r="B74" s="155"/>
      <c r="C74" s="975" t="s">
        <v>1268</v>
      </c>
      <c r="D74" s="156" t="s">
        <v>685</v>
      </c>
      <c r="E74" s="156" t="s">
        <v>917</v>
      </c>
      <c r="F74"/>
      <c r="G74"/>
      <c r="H74"/>
      <c r="I74"/>
      <c r="J74"/>
    </row>
    <row r="75" spans="1:10" ht="14.5">
      <c r="A75" s="745">
        <v>9</v>
      </c>
      <c r="B75" s="158" t="s">
        <v>683</v>
      </c>
      <c r="C75" s="1730"/>
      <c r="D75" s="1730"/>
      <c r="E75" s="1733">
        <f>+C75-D75</f>
        <v>0</v>
      </c>
      <c r="F75"/>
      <c r="G75"/>
      <c r="H75"/>
      <c r="I75"/>
      <c r="J75"/>
    </row>
    <row r="76" spans="1:10" ht="14.5">
      <c r="A76" s="745">
        <v>10</v>
      </c>
      <c r="B76" s="158" t="s">
        <v>684</v>
      </c>
      <c r="C76" s="1730"/>
      <c r="D76" s="1730"/>
      <c r="E76" s="1733">
        <f>+C76-D76</f>
        <v>0</v>
      </c>
      <c r="F76"/>
      <c r="G76"/>
      <c r="H76"/>
      <c r="I76"/>
      <c r="J76"/>
    </row>
    <row r="77" spans="1:10" ht="14.5">
      <c r="A77" s="745">
        <v>11</v>
      </c>
      <c r="B77" s="158"/>
      <c r="C77" s="1731"/>
      <c r="D77" s="161"/>
      <c r="E77" s="1733">
        <f>SUM(E75:E76)</f>
        <v>0</v>
      </c>
      <c r="F77" s="157"/>
      <c r="G77"/>
      <c r="H77"/>
      <c r="I77"/>
      <c r="J77"/>
    </row>
    <row r="78" spans="1:10" ht="14.5">
      <c r="A78" s="745"/>
      <c r="B78" s="158"/>
      <c r="C78" s="1731"/>
      <c r="D78" s="161"/>
      <c r="E78" s="1732"/>
      <c r="F78" s="157"/>
      <c r="G78"/>
      <c r="H78"/>
      <c r="I78"/>
      <c r="J78"/>
    </row>
    <row r="79" spans="1:10" ht="14.5">
      <c r="A79" s="745">
        <v>12</v>
      </c>
      <c r="B79" s="163" t="s">
        <v>1170</v>
      </c>
      <c r="C79" s="1731"/>
      <c r="D79" s="161"/>
      <c r="E79" s="1732"/>
      <c r="F79" s="157"/>
      <c r="G79"/>
      <c r="H79"/>
      <c r="I79"/>
      <c r="J79"/>
    </row>
    <row r="80" spans="1:10" ht="14.5">
      <c r="A80" s="745"/>
      <c r="B80" s="159"/>
      <c r="C80" s="1731"/>
      <c r="D80" s="161"/>
      <c r="E80" s="1732"/>
      <c r="F80" s="157"/>
      <c r="G80"/>
      <c r="H80"/>
      <c r="I80"/>
      <c r="J80"/>
    </row>
    <row r="81" spans="1:10" ht="14.5">
      <c r="A81" s="745">
        <v>13</v>
      </c>
      <c r="B81" s="158" t="s">
        <v>918</v>
      </c>
      <c r="C81" s="1730"/>
      <c r="D81" s="1730"/>
      <c r="E81" s="1734">
        <f>+(C81-D81)</f>
        <v>0</v>
      </c>
      <c r="F81" s="779"/>
      <c r="G81" s="86"/>
      <c r="H81"/>
      <c r="I81"/>
      <c r="J81"/>
    </row>
    <row r="82" spans="1:10" ht="14.5">
      <c r="A82" s="745"/>
      <c r="C82" s="779"/>
      <c r="D82" s="779"/>
      <c r="E82" s="1736"/>
      <c r="F82" s="779"/>
      <c r="G82"/>
      <c r="H82"/>
      <c r="I82"/>
      <c r="J82"/>
    </row>
    <row r="83" spans="1:10" ht="14.5">
      <c r="A83" s="745"/>
      <c r="C83" s="779"/>
      <c r="D83" s="779"/>
      <c r="E83" s="779"/>
      <c r="F83" s="779"/>
      <c r="G83"/>
      <c r="H83"/>
      <c r="I83"/>
      <c r="J83"/>
    </row>
    <row r="84" spans="1:10" ht="66" customHeight="1">
      <c r="A84" s="745"/>
      <c r="C84" s="740"/>
      <c r="D84" s="792"/>
      <c r="E84" s="792"/>
      <c r="F84" s="792"/>
      <c r="G84" s="898"/>
      <c r="H84" s="792"/>
      <c r="I84" s="792"/>
      <c r="J84" s="779"/>
    </row>
    <row r="85" spans="1:10" ht="56.25" customHeight="1">
      <c r="A85" s="793" t="s">
        <v>651</v>
      </c>
      <c r="B85" s="739" t="s">
        <v>9</v>
      </c>
      <c r="C85" s="1978" t="s">
        <v>1513</v>
      </c>
      <c r="D85" s="1978"/>
      <c r="E85" s="1978"/>
      <c r="F85" s="1978"/>
      <c r="G85" s="1978"/>
      <c r="H85" s="1978"/>
      <c r="I85" s="1978"/>
      <c r="J85" s="1978"/>
    </row>
    <row r="86" spans="1:10" ht="27" customHeight="1">
      <c r="A86" s="745"/>
      <c r="B86" s="794" t="s">
        <v>10</v>
      </c>
      <c r="C86" s="1969" t="s">
        <v>1514</v>
      </c>
      <c r="D86" s="1969"/>
      <c r="E86" s="1969"/>
      <c r="F86" s="1969"/>
      <c r="G86" s="1969"/>
      <c r="H86" s="1969"/>
      <c r="I86" s="1969"/>
      <c r="J86" s="1068"/>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6"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view="pageBreakPreview" zoomScale="60" zoomScaleNormal="100" workbookViewId="0">
      <selection activeCell="G67" sqref="G67"/>
    </sheetView>
  </sheetViews>
  <sheetFormatPr defaultColWidth="11.453125" defaultRowHeight="13"/>
  <cols>
    <col min="1" max="1" width="5.1796875" style="795" customWidth="1"/>
    <col min="2" max="2" width="47.81640625" style="795" customWidth="1"/>
    <col min="3" max="3" width="24.26953125" style="795" customWidth="1"/>
    <col min="4" max="4" width="22.1796875" style="795" customWidth="1"/>
    <col min="5" max="5" width="12.1796875" style="795" customWidth="1"/>
    <col min="6" max="6" width="10" style="795" customWidth="1"/>
    <col min="7" max="7" width="16.54296875" style="795" customWidth="1"/>
    <col min="8" max="16" width="10" style="795" customWidth="1"/>
    <col min="17" max="17" width="13.7265625" style="795" bestFit="1" customWidth="1"/>
    <col min="18" max="16384" width="11.453125" style="795"/>
  </cols>
  <sheetData>
    <row r="1" spans="1:27">
      <c r="E1" s="582" t="s">
        <v>886</v>
      </c>
      <c r="I1" s="796"/>
      <c r="P1" s="905"/>
    </row>
    <row r="2" spans="1:27">
      <c r="E2" s="797" t="s">
        <v>891</v>
      </c>
      <c r="I2" s="905"/>
    </row>
    <row r="3" spans="1:27">
      <c r="E3" s="587" t="s">
        <v>343</v>
      </c>
    </row>
    <row r="4" spans="1:27">
      <c r="I4" s="587"/>
    </row>
    <row r="5" spans="1:27">
      <c r="F5" s="798"/>
      <c r="G5" s="798"/>
      <c r="H5" s="798"/>
      <c r="I5" s="587"/>
    </row>
    <row r="6" spans="1:27" ht="15.5">
      <c r="E6" s="799" t="s">
        <v>892</v>
      </c>
      <c r="F6" s="800"/>
      <c r="G6" s="801"/>
      <c r="H6" s="800"/>
    </row>
    <row r="7" spans="1:27" ht="46.5" customHeight="1">
      <c r="A7" s="802"/>
      <c r="B7" s="803"/>
      <c r="C7" s="804" t="s">
        <v>893</v>
      </c>
      <c r="D7" s="804"/>
      <c r="E7" s="805" t="s">
        <v>894</v>
      </c>
      <c r="F7" s="806"/>
      <c r="G7" s="806"/>
      <c r="H7" s="806"/>
      <c r="S7" s="798"/>
      <c r="T7" s="798"/>
      <c r="U7" s="798"/>
      <c r="V7" s="798"/>
      <c r="W7" s="798"/>
      <c r="X7" s="798"/>
      <c r="Y7" s="798"/>
      <c r="Z7" s="798"/>
      <c r="AA7" s="798"/>
    </row>
    <row r="8" spans="1:27" ht="15.5">
      <c r="A8" s="1392">
        <v>1</v>
      </c>
      <c r="B8" s="1393"/>
      <c r="C8" s="795" t="s">
        <v>634</v>
      </c>
      <c r="D8" s="808"/>
      <c r="E8" s="809"/>
      <c r="F8" s="1769"/>
      <c r="G8" s="811"/>
      <c r="H8" s="811"/>
      <c r="S8" s="812"/>
      <c r="T8" s="812"/>
      <c r="U8" s="812"/>
      <c r="V8" s="813"/>
      <c r="W8" s="800"/>
      <c r="X8" s="801"/>
      <c r="Y8" s="800"/>
      <c r="Z8" s="812"/>
      <c r="AA8" s="798"/>
    </row>
    <row r="9" spans="1:27" ht="15.5">
      <c r="A9" s="1392">
        <v>2</v>
      </c>
      <c r="B9" s="1393"/>
      <c r="C9" s="795" t="s">
        <v>635</v>
      </c>
      <c r="D9" s="808"/>
      <c r="E9" s="809"/>
      <c r="F9" s="1769"/>
      <c r="G9" s="811"/>
      <c r="H9" s="811"/>
      <c r="S9" s="812"/>
      <c r="T9" s="814"/>
      <c r="U9" s="814"/>
      <c r="V9" s="806"/>
      <c r="W9" s="806"/>
      <c r="X9" s="806"/>
      <c r="Y9" s="806"/>
      <c r="Z9" s="806"/>
      <c r="AA9" s="798"/>
    </row>
    <row r="10" spans="1:27" ht="15.5">
      <c r="A10" s="1392">
        <v>3</v>
      </c>
      <c r="B10" s="1393"/>
      <c r="C10" s="795" t="s">
        <v>662</v>
      </c>
      <c r="D10" s="808"/>
      <c r="E10" s="809"/>
      <c r="F10" s="1769"/>
      <c r="G10" s="811"/>
      <c r="H10" s="811"/>
      <c r="S10" s="812"/>
      <c r="T10" s="814"/>
      <c r="U10" s="814"/>
      <c r="V10" s="810"/>
      <c r="W10" s="810"/>
      <c r="X10" s="815"/>
      <c r="Y10" s="815"/>
      <c r="Z10" s="815"/>
      <c r="AA10" s="798"/>
    </row>
    <row r="11" spans="1:27" ht="15.5">
      <c r="A11" s="1392">
        <v>4</v>
      </c>
      <c r="B11" s="1393"/>
      <c r="C11" s="795" t="s">
        <v>213</v>
      </c>
      <c r="D11" s="808"/>
      <c r="E11" s="809"/>
      <c r="F11" s="1769"/>
      <c r="G11" s="811"/>
      <c r="H11" s="811"/>
      <c r="S11" s="812"/>
      <c r="T11" s="814"/>
      <c r="U11" s="814"/>
      <c r="V11" s="810"/>
      <c r="W11" s="810"/>
      <c r="X11" s="815"/>
      <c r="Y11" s="815"/>
      <c r="Z11" s="815"/>
      <c r="AA11" s="798"/>
    </row>
    <row r="12" spans="1:27" ht="15.75" customHeight="1">
      <c r="A12" s="1392">
        <v>5</v>
      </c>
      <c r="B12" s="1393"/>
      <c r="C12" s="795" t="s">
        <v>214</v>
      </c>
      <c r="D12" s="808"/>
      <c r="E12" s="809"/>
      <c r="F12" s="1769"/>
      <c r="G12" s="811"/>
      <c r="H12" s="811"/>
      <c r="S12" s="812"/>
      <c r="T12" s="814"/>
      <c r="U12" s="814"/>
      <c r="V12" s="810"/>
      <c r="W12" s="810"/>
      <c r="X12" s="815"/>
      <c r="Y12" s="815"/>
      <c r="Z12" s="815"/>
      <c r="AA12" s="798"/>
    </row>
    <row r="13" spans="1:27" ht="15.5">
      <c r="A13" s="1392">
        <v>6</v>
      </c>
      <c r="B13" s="1393"/>
      <c r="C13" s="795" t="s">
        <v>215</v>
      </c>
      <c r="D13" s="808"/>
      <c r="E13" s="809"/>
      <c r="F13" s="1769"/>
      <c r="G13" s="811"/>
      <c r="H13" s="811"/>
      <c r="S13" s="812"/>
      <c r="T13" s="814"/>
      <c r="U13" s="814"/>
      <c r="V13" s="810"/>
      <c r="W13" s="810"/>
      <c r="X13" s="815"/>
      <c r="Y13" s="815"/>
      <c r="Z13" s="815"/>
      <c r="AA13" s="798"/>
    </row>
    <row r="14" spans="1:27" ht="15.5">
      <c r="A14" s="1392">
        <v>7</v>
      </c>
      <c r="B14" s="1393"/>
      <c r="C14" s="795" t="s">
        <v>637</v>
      </c>
      <c r="D14" s="808"/>
      <c r="E14" s="809"/>
      <c r="F14" s="1769"/>
      <c r="G14" s="811"/>
      <c r="H14" s="811"/>
      <c r="S14" s="812"/>
      <c r="T14" s="812"/>
      <c r="U14" s="812"/>
      <c r="V14" s="812"/>
      <c r="W14" s="812"/>
      <c r="X14" s="812"/>
      <c r="Y14" s="812"/>
      <c r="Z14" s="812"/>
      <c r="AA14" s="798"/>
    </row>
    <row r="15" spans="1:27" ht="15.5">
      <c r="A15" s="1392">
        <v>8</v>
      </c>
      <c r="B15" s="1393"/>
      <c r="C15" s="795" t="s">
        <v>663</v>
      </c>
      <c r="D15" s="808"/>
      <c r="E15" s="809"/>
      <c r="F15" s="1769"/>
      <c r="G15" s="811"/>
      <c r="H15" s="811"/>
      <c r="S15" s="812"/>
      <c r="T15" s="812"/>
      <c r="U15" s="812"/>
      <c r="V15" s="812"/>
      <c r="W15" s="812"/>
      <c r="X15" s="812"/>
      <c r="Y15" s="812"/>
      <c r="Z15" s="812"/>
      <c r="AA15" s="798"/>
    </row>
    <row r="16" spans="1:27" ht="15.5">
      <c r="A16" s="1392">
        <v>9</v>
      </c>
      <c r="B16" s="1393"/>
      <c r="C16" s="795" t="s">
        <v>639</v>
      </c>
      <c r="D16" s="808"/>
      <c r="E16" s="809"/>
      <c r="F16" s="1769"/>
      <c r="G16" s="811"/>
      <c r="H16" s="811"/>
      <c r="S16" s="812"/>
      <c r="T16" s="812"/>
      <c r="U16" s="812"/>
      <c r="V16" s="812"/>
      <c r="W16" s="812"/>
      <c r="X16" s="812"/>
      <c r="Y16" s="812"/>
      <c r="Z16" s="812"/>
      <c r="AA16" s="798"/>
    </row>
    <row r="17" spans="1:27" ht="15.5">
      <c r="A17" s="1392">
        <v>10</v>
      </c>
      <c r="B17" s="1393"/>
      <c r="C17" s="795" t="s">
        <v>640</v>
      </c>
      <c r="D17" s="808"/>
      <c r="E17" s="809"/>
      <c r="F17" s="1769"/>
      <c r="H17" s="811"/>
      <c r="S17" s="812"/>
      <c r="T17" s="812"/>
      <c r="U17" s="812"/>
      <c r="V17" s="812"/>
      <c r="W17" s="812"/>
      <c r="X17" s="812"/>
      <c r="Y17" s="812"/>
      <c r="Z17" s="812"/>
      <c r="AA17" s="798"/>
    </row>
    <row r="18" spans="1:27" ht="15.5">
      <c r="A18" s="1392">
        <v>11</v>
      </c>
      <c r="B18" s="1393"/>
      <c r="C18" s="795" t="s">
        <v>641</v>
      </c>
      <c r="D18" s="808"/>
      <c r="E18" s="809"/>
      <c r="F18" s="1769"/>
      <c r="G18" s="811"/>
      <c r="H18" s="811"/>
      <c r="S18" s="812"/>
      <c r="T18" s="812"/>
      <c r="U18" s="812"/>
      <c r="V18" s="812"/>
      <c r="W18" s="812"/>
      <c r="X18" s="812"/>
      <c r="Y18" s="812"/>
      <c r="Z18" s="812"/>
      <c r="AA18" s="798"/>
    </row>
    <row r="19" spans="1:27" ht="15.5">
      <c r="A19" s="1392">
        <v>12</v>
      </c>
      <c r="B19" s="1393"/>
      <c r="C19" s="795" t="s">
        <v>895</v>
      </c>
      <c r="D19" s="808"/>
      <c r="E19" s="809"/>
      <c r="F19" s="1769"/>
      <c r="S19" s="812"/>
      <c r="T19" s="812"/>
      <c r="U19" s="812"/>
      <c r="V19" s="812"/>
      <c r="W19" s="812"/>
      <c r="X19" s="812"/>
      <c r="Y19" s="812"/>
      <c r="Z19" s="812"/>
      <c r="AA19" s="798"/>
    </row>
    <row r="20" spans="1:27" ht="15.5">
      <c r="A20" s="1392">
        <v>13</v>
      </c>
      <c r="B20" s="1393"/>
      <c r="C20" s="795" t="s">
        <v>634</v>
      </c>
      <c r="D20" s="808"/>
      <c r="E20" s="809"/>
      <c r="F20" s="1769"/>
      <c r="G20" s="811"/>
      <c r="S20" s="812"/>
      <c r="T20" s="812"/>
      <c r="U20" s="812"/>
      <c r="V20" s="812"/>
      <c r="W20" s="812"/>
      <c r="X20" s="812"/>
      <c r="Y20" s="812"/>
      <c r="Z20" s="812"/>
      <c r="AA20" s="798"/>
    </row>
    <row r="21" spans="1:27" ht="15.5">
      <c r="A21" s="1392">
        <v>14</v>
      </c>
      <c r="B21" s="1393"/>
      <c r="C21" s="795" t="s">
        <v>635</v>
      </c>
      <c r="D21" s="808"/>
      <c r="E21" s="809"/>
      <c r="F21" s="1769"/>
      <c r="G21" s="811"/>
      <c r="H21" s="811"/>
      <c r="S21" s="812"/>
      <c r="T21" s="812"/>
      <c r="U21" s="812"/>
      <c r="V21" s="812"/>
      <c r="W21" s="812"/>
      <c r="X21" s="812"/>
      <c r="Y21" s="812"/>
      <c r="Z21" s="812"/>
      <c r="AA21" s="798"/>
    </row>
    <row r="22" spans="1:27" ht="15.5">
      <c r="A22" s="1392">
        <v>15</v>
      </c>
      <c r="B22" s="1393"/>
      <c r="C22" s="795" t="s">
        <v>662</v>
      </c>
      <c r="D22" s="808"/>
      <c r="E22" s="809"/>
      <c r="F22" s="1769"/>
      <c r="G22" s="811"/>
      <c r="H22" s="811"/>
      <c r="S22" s="812"/>
      <c r="T22" s="812"/>
      <c r="U22" s="812"/>
      <c r="V22" s="812"/>
      <c r="W22" s="812"/>
      <c r="X22" s="812"/>
      <c r="Y22" s="812"/>
      <c r="Z22" s="812"/>
      <c r="AA22" s="798"/>
    </row>
    <row r="23" spans="1:27" ht="15.5">
      <c r="A23" s="1392">
        <v>16</v>
      </c>
      <c r="B23" s="1393"/>
      <c r="C23" s="795" t="s">
        <v>213</v>
      </c>
      <c r="D23" s="808"/>
      <c r="E23" s="809"/>
      <c r="F23" s="1769"/>
      <c r="G23" s="811"/>
      <c r="H23" s="811"/>
      <c r="S23" s="812"/>
      <c r="T23" s="812"/>
      <c r="U23" s="812"/>
      <c r="V23" s="812"/>
      <c r="W23" s="812"/>
      <c r="X23" s="812"/>
      <c r="Y23" s="812"/>
      <c r="Z23" s="812"/>
      <c r="AA23" s="798"/>
    </row>
    <row r="24" spans="1:27" ht="15.5">
      <c r="A24" s="1392">
        <v>17</v>
      </c>
      <c r="B24" s="1393"/>
      <c r="C24" s="795" t="s">
        <v>214</v>
      </c>
      <c r="D24" s="808"/>
      <c r="E24" s="809"/>
      <c r="F24" s="1769"/>
      <c r="G24" s="811"/>
      <c r="H24" s="811"/>
      <c r="S24" s="812"/>
      <c r="T24" s="812"/>
      <c r="U24" s="812"/>
      <c r="V24" s="812"/>
      <c r="W24" s="812"/>
      <c r="X24" s="812"/>
      <c r="Y24" s="812"/>
      <c r="Z24" s="812"/>
      <c r="AA24" s="798"/>
    </row>
    <row r="25" spans="1:27" ht="15.5">
      <c r="A25" s="1392"/>
      <c r="B25" s="1393"/>
      <c r="C25" s="816"/>
      <c r="D25" s="817"/>
      <c r="E25" s="817"/>
      <c r="F25" s="817"/>
      <c r="G25" s="817"/>
      <c r="H25" s="817"/>
      <c r="S25" s="812"/>
      <c r="T25" s="812"/>
      <c r="U25" s="812"/>
      <c r="V25" s="818"/>
      <c r="W25" s="815"/>
      <c r="X25" s="812"/>
      <c r="Y25" s="812"/>
      <c r="Z25" s="812"/>
      <c r="AA25" s="798"/>
    </row>
    <row r="26" spans="1:27" ht="15.5">
      <c r="A26" s="1392">
        <v>18</v>
      </c>
      <c r="B26" s="1394" t="s">
        <v>896</v>
      </c>
      <c r="C26" s="819"/>
      <c r="D26" s="817"/>
      <c r="E26" s="1395" t="e">
        <f>AVERAGE(E8:E24)</f>
        <v>#DIV/0!</v>
      </c>
      <c r="F26" s="817"/>
      <c r="G26" s="817"/>
      <c r="H26" s="817"/>
      <c r="S26" s="812"/>
      <c r="T26" s="812"/>
      <c r="U26" s="812"/>
      <c r="V26" s="818"/>
      <c r="W26" s="815"/>
      <c r="X26" s="812"/>
      <c r="Y26" s="812"/>
      <c r="Z26" s="812"/>
      <c r="AA26" s="798"/>
    </row>
    <row r="27" spans="1:27" ht="15.5">
      <c r="A27" s="1393"/>
      <c r="B27" s="1393"/>
      <c r="C27" s="819"/>
      <c r="D27" s="817"/>
      <c r="E27" s="817"/>
      <c r="F27" s="808"/>
      <c r="G27" s="808"/>
      <c r="H27" s="808"/>
      <c r="S27" s="812"/>
      <c r="T27" s="812"/>
      <c r="U27" s="812"/>
      <c r="V27" s="812"/>
      <c r="W27" s="812"/>
      <c r="X27" s="812"/>
      <c r="Y27" s="812"/>
      <c r="Z27" s="812"/>
      <c r="AA27" s="798"/>
    </row>
    <row r="28" spans="1:27" ht="15.5">
      <c r="A28" s="1393" t="s">
        <v>897</v>
      </c>
      <c r="B28" s="1393"/>
      <c r="C28" s="807"/>
      <c r="D28" s="807"/>
      <c r="E28" s="807"/>
      <c r="F28" s="807"/>
      <c r="G28" s="807"/>
      <c r="H28" s="807"/>
      <c r="S28" s="812"/>
      <c r="T28" s="812"/>
      <c r="U28" s="812"/>
      <c r="V28" s="812"/>
      <c r="W28" s="812"/>
      <c r="X28" s="812"/>
      <c r="Y28" s="812"/>
      <c r="Z28" s="812"/>
      <c r="AA28" s="798"/>
    </row>
    <row r="29" spans="1:27" ht="15.5">
      <c r="A29" s="807"/>
      <c r="B29" s="820" t="s">
        <v>898</v>
      </c>
      <c r="C29" s="807"/>
      <c r="D29" s="807"/>
      <c r="E29" s="807"/>
      <c r="F29" s="807"/>
      <c r="G29" s="807"/>
      <c r="H29" s="807"/>
      <c r="S29" s="814"/>
      <c r="T29" s="798"/>
      <c r="U29" s="812"/>
      <c r="V29" s="812"/>
      <c r="W29" s="812"/>
      <c r="X29" s="812"/>
      <c r="Y29" s="812"/>
      <c r="Z29" s="812"/>
      <c r="AA29" s="798"/>
    </row>
    <row r="30" spans="1:27" ht="15.5">
      <c r="A30" s="807"/>
      <c r="B30" s="820"/>
      <c r="C30" s="807"/>
      <c r="D30" s="807"/>
      <c r="E30" s="807"/>
      <c r="F30" s="807"/>
      <c r="G30" s="807"/>
      <c r="H30" s="807"/>
      <c r="S30" s="820"/>
      <c r="U30" s="820"/>
      <c r="V30" s="820"/>
      <c r="W30" s="820"/>
      <c r="X30" s="820"/>
      <c r="Y30" s="820"/>
      <c r="Z30" s="820"/>
    </row>
    <row r="31" spans="1:27" ht="15.5">
      <c r="A31" s="807"/>
      <c r="B31" s="820"/>
      <c r="C31" s="807"/>
      <c r="D31" s="807"/>
      <c r="E31" s="807"/>
      <c r="F31" s="807"/>
      <c r="G31" s="807"/>
      <c r="H31" s="807"/>
      <c r="S31" s="820"/>
      <c r="T31" s="820"/>
      <c r="U31" s="820"/>
      <c r="V31" s="820"/>
      <c r="W31" s="820"/>
      <c r="X31" s="820"/>
      <c r="Y31" s="820"/>
      <c r="Z31" s="820"/>
    </row>
    <row r="32" spans="1:27" ht="15.5">
      <c r="A32" s="807"/>
      <c r="B32" s="807"/>
      <c r="C32" s="807"/>
      <c r="D32" s="807"/>
      <c r="E32" s="807"/>
      <c r="F32" s="807"/>
      <c r="G32" s="807"/>
      <c r="H32" s="807"/>
    </row>
    <row r="33" spans="1:17">
      <c r="A33" s="745"/>
      <c r="B33" s="821"/>
      <c r="C33" s="821"/>
      <c r="D33" s="1979"/>
      <c r="E33" s="1979"/>
      <c r="F33" s="822"/>
      <c r="G33" s="822"/>
      <c r="H33" s="866"/>
      <c r="I33" s="822"/>
      <c r="J33" s="822"/>
      <c r="K33" s="822"/>
    </row>
    <row r="34" spans="1:17">
      <c r="A34" s="745">
        <v>19</v>
      </c>
      <c r="B34" s="821" t="s">
        <v>212</v>
      </c>
      <c r="C34" s="821"/>
      <c r="D34" s="1979"/>
      <c r="E34" s="1979"/>
      <c r="F34" s="1979"/>
      <c r="G34" s="1979"/>
      <c r="H34" s="866"/>
      <c r="I34" s="1979"/>
      <c r="J34" s="1979"/>
      <c r="K34" s="1979"/>
      <c r="L34" s="1979"/>
    </row>
    <row r="35" spans="1:17">
      <c r="A35" s="745">
        <v>20</v>
      </c>
      <c r="B35" s="821"/>
      <c r="C35" s="821"/>
      <c r="D35" s="822"/>
      <c r="E35" s="822"/>
      <c r="F35" s="823"/>
      <c r="G35" s="822"/>
      <c r="H35" s="822"/>
      <c r="I35" s="822"/>
      <c r="J35" s="822"/>
      <c r="K35" s="822"/>
      <c r="L35" s="822"/>
    </row>
    <row r="36" spans="1:17">
      <c r="A36" s="744"/>
      <c r="B36" s="824" t="s">
        <v>9</v>
      </c>
      <c r="C36" s="825" t="s">
        <v>10</v>
      </c>
      <c r="D36" s="825" t="s">
        <v>11</v>
      </c>
      <c r="E36" s="825" t="s">
        <v>14</v>
      </c>
      <c r="F36" s="825" t="s">
        <v>166</v>
      </c>
      <c r="G36" s="826" t="s">
        <v>169</v>
      </c>
      <c r="H36" s="866"/>
      <c r="I36" s="866"/>
      <c r="J36" s="866"/>
      <c r="K36" s="866"/>
      <c r="L36" s="866"/>
      <c r="M36" s="866"/>
      <c r="N36" s="866"/>
      <c r="O36" s="866"/>
      <c r="P36" s="866"/>
      <c r="Q36" s="866"/>
    </row>
    <row r="37" spans="1:17">
      <c r="A37" s="745"/>
      <c r="B37" s="827"/>
      <c r="C37" s="866"/>
      <c r="D37" s="866"/>
      <c r="E37" s="866"/>
      <c r="F37" s="866"/>
      <c r="G37" s="828"/>
      <c r="H37" s="866"/>
      <c r="I37" s="822"/>
      <c r="J37" s="866"/>
      <c r="K37" s="822"/>
      <c r="L37" s="822"/>
      <c r="M37" s="798"/>
      <c r="N37" s="798"/>
      <c r="O37" s="798"/>
      <c r="P37" s="798"/>
      <c r="Q37" s="798"/>
    </row>
    <row r="38" spans="1:17">
      <c r="A38" s="745"/>
      <c r="B38" s="829"/>
      <c r="C38" s="866"/>
      <c r="D38" s="866"/>
      <c r="E38" s="866"/>
      <c r="F38" s="866"/>
      <c r="G38" s="830"/>
      <c r="H38" s="866"/>
      <c r="I38" s="866"/>
      <c r="J38" s="866"/>
      <c r="K38" s="866"/>
      <c r="L38" s="866"/>
      <c r="M38" s="866"/>
      <c r="N38" s="866"/>
      <c r="O38" s="866"/>
      <c r="P38" s="866"/>
      <c r="Q38" s="866"/>
    </row>
    <row r="39" spans="1:17" ht="26">
      <c r="A39" s="745"/>
      <c r="B39" s="727" t="s">
        <v>735</v>
      </c>
      <c r="C39" s="831" t="s">
        <v>736</v>
      </c>
      <c r="D39" s="832" t="s">
        <v>128</v>
      </c>
      <c r="E39" s="866" t="s">
        <v>899</v>
      </c>
      <c r="F39" s="833" t="s">
        <v>847</v>
      </c>
      <c r="G39" s="834" t="s">
        <v>219</v>
      </c>
      <c r="H39" s="798"/>
      <c r="I39" s="798"/>
      <c r="J39" s="798"/>
      <c r="K39" s="798"/>
      <c r="L39" s="798"/>
      <c r="M39" s="798"/>
      <c r="N39" s="798"/>
      <c r="O39" s="798"/>
      <c r="P39" s="866"/>
      <c r="Q39" s="866"/>
    </row>
    <row r="40" spans="1:17" ht="30" customHeight="1">
      <c r="A40" s="745"/>
      <c r="B40" s="829"/>
      <c r="C40" s="866"/>
      <c r="D40" s="832" t="s">
        <v>942</v>
      </c>
      <c r="E40" s="866"/>
      <c r="F40" s="832" t="s">
        <v>900</v>
      </c>
      <c r="G40" s="835" t="s">
        <v>901</v>
      </c>
      <c r="H40" s="866"/>
      <c r="I40" s="866"/>
      <c r="J40" s="866"/>
      <c r="K40" s="866"/>
      <c r="L40" s="866"/>
      <c r="M40" s="866"/>
      <c r="N40" s="866"/>
      <c r="O40" s="866"/>
      <c r="P40" s="866"/>
      <c r="Q40" s="866"/>
    </row>
    <row r="41" spans="1:17">
      <c r="A41" s="745">
        <v>21</v>
      </c>
      <c r="B41" s="827" t="s">
        <v>59</v>
      </c>
      <c r="C41" s="822" t="s">
        <v>759</v>
      </c>
      <c r="D41" s="617">
        <f>+'6A-Project True-up'!H18+'6A-Project True-up'!I18</f>
        <v>0</v>
      </c>
      <c r="E41" s="617">
        <v>17</v>
      </c>
      <c r="F41" s="837" t="e">
        <f>+E26</f>
        <v>#DIV/0!</v>
      </c>
      <c r="G41" s="845" t="e">
        <f>+D41*E41*F41</f>
        <v>#DIV/0!</v>
      </c>
      <c r="H41" s="836"/>
      <c r="I41" s="616"/>
      <c r="J41" s="616"/>
      <c r="K41" s="616"/>
      <c r="L41" s="616"/>
      <c r="M41" s="798"/>
      <c r="N41" s="798"/>
      <c r="O41" s="798"/>
      <c r="P41" s="798"/>
      <c r="Q41" s="798"/>
    </row>
    <row r="42" spans="1:17">
      <c r="A42" s="745" t="s">
        <v>902</v>
      </c>
      <c r="B42" s="1723"/>
      <c r="C42" s="839">
        <f>+'6A-Project True-up'!C19</f>
        <v>0</v>
      </c>
      <c r="D42" s="617">
        <f>+'6A-Project True-up'!H19+'6A-Project True-up'!I19</f>
        <v>0</v>
      </c>
      <c r="E42" s="617">
        <v>17</v>
      </c>
      <c r="F42" s="837" t="e">
        <f>+F41</f>
        <v>#DIV/0!</v>
      </c>
      <c r="G42" s="845" t="e">
        <f>+D42*E42*F42</f>
        <v>#DIV/0!</v>
      </c>
      <c r="H42" s="836"/>
      <c r="I42" s="822"/>
      <c r="J42" s="836"/>
      <c r="K42" s="616"/>
      <c r="L42" s="616"/>
      <c r="M42" s="798"/>
      <c r="N42" s="798"/>
      <c r="O42" s="798"/>
      <c r="P42" s="682"/>
      <c r="Q42" s="841"/>
    </row>
    <row r="43" spans="1:17">
      <c r="A43" s="745" t="s">
        <v>903</v>
      </c>
      <c r="B43" s="1723"/>
      <c r="C43" s="839">
        <f>+'6A-Project True-up'!C20</f>
        <v>0</v>
      </c>
      <c r="D43" s="617">
        <f>+'6A-Project True-up'!H20+'6A-Project True-up'!I20</f>
        <v>0</v>
      </c>
      <c r="E43" s="617">
        <v>17</v>
      </c>
      <c r="F43" s="837" t="e">
        <f t="shared" ref="F43:F59" si="0">+F42</f>
        <v>#DIV/0!</v>
      </c>
      <c r="G43" s="845" t="e">
        <f t="shared" ref="G43:G50" si="1">+D43*E43*F43</f>
        <v>#DIV/0!</v>
      </c>
      <c r="H43" s="836"/>
      <c r="I43" s="822"/>
      <c r="J43" s="836"/>
      <c r="K43" s="616"/>
      <c r="L43" s="616"/>
      <c r="M43" s="798"/>
      <c r="N43" s="798"/>
      <c r="O43" s="798"/>
      <c r="P43" s="682"/>
      <c r="Q43" s="841"/>
    </row>
    <row r="44" spans="1:17">
      <c r="A44" s="745" t="s">
        <v>904</v>
      </c>
      <c r="B44" s="1723"/>
      <c r="C44" s="839">
        <f>+'6A-Project True-up'!C21</f>
        <v>0</v>
      </c>
      <c r="D44" s="617">
        <f>+'6A-Project True-up'!H21+'6A-Project True-up'!I21</f>
        <v>0</v>
      </c>
      <c r="E44" s="617">
        <v>17</v>
      </c>
      <c r="F44" s="837" t="e">
        <f t="shared" si="0"/>
        <v>#DIV/0!</v>
      </c>
      <c r="G44" s="845" t="e">
        <f t="shared" si="1"/>
        <v>#DIV/0!</v>
      </c>
      <c r="H44" s="836"/>
      <c r="I44" s="822"/>
      <c r="J44" s="836"/>
      <c r="K44" s="616"/>
      <c r="L44" s="616"/>
      <c r="M44" s="798"/>
      <c r="N44" s="798"/>
      <c r="O44" s="798"/>
      <c r="P44" s="682"/>
      <c r="Q44" s="841"/>
    </row>
    <row r="45" spans="1:17">
      <c r="A45" s="745" t="s">
        <v>920</v>
      </c>
      <c r="B45" s="1723"/>
      <c r="C45" s="839">
        <f>+'6A-Project True-up'!C22</f>
        <v>0</v>
      </c>
      <c r="D45" s="617">
        <f>+'6A-Project True-up'!H22+'6A-Project True-up'!I22</f>
        <v>0</v>
      </c>
      <c r="E45" s="617">
        <v>17</v>
      </c>
      <c r="F45" s="837" t="e">
        <f t="shared" si="0"/>
        <v>#DIV/0!</v>
      </c>
      <c r="G45" s="845" t="e">
        <f t="shared" si="1"/>
        <v>#DIV/0!</v>
      </c>
      <c r="H45" s="836"/>
      <c r="I45" s="822"/>
      <c r="J45" s="836"/>
      <c r="K45" s="616"/>
      <c r="L45" s="616"/>
      <c r="M45" s="798"/>
      <c r="N45" s="798"/>
      <c r="O45" s="798"/>
      <c r="P45" s="682"/>
      <c r="Q45" s="841"/>
    </row>
    <row r="46" spans="1:17">
      <c r="A46" s="745" t="s">
        <v>921</v>
      </c>
      <c r="B46" s="1723"/>
      <c r="C46" s="839">
        <f>+'6A-Project True-up'!C23</f>
        <v>0</v>
      </c>
      <c r="D46" s="617">
        <f>+'6A-Project True-up'!H23+'6A-Project True-up'!I23</f>
        <v>0</v>
      </c>
      <c r="E46" s="617">
        <v>17</v>
      </c>
      <c r="F46" s="837" t="e">
        <f t="shared" si="0"/>
        <v>#DIV/0!</v>
      </c>
      <c r="G46" s="845" t="e">
        <f t="shared" si="1"/>
        <v>#DIV/0!</v>
      </c>
      <c r="H46" s="836"/>
      <c r="I46" s="822"/>
      <c r="J46" s="836"/>
      <c r="K46" s="616"/>
      <c r="L46" s="616"/>
      <c r="M46" s="798"/>
      <c r="N46" s="798"/>
      <c r="O46" s="798"/>
      <c r="P46" s="682"/>
      <c r="Q46" s="841"/>
    </row>
    <row r="47" spans="1:17">
      <c r="A47" s="745" t="s">
        <v>922</v>
      </c>
      <c r="B47" s="1723"/>
      <c r="C47" s="839">
        <f>+'6A-Project True-up'!C24</f>
        <v>0</v>
      </c>
      <c r="D47" s="617">
        <f>+'6A-Project True-up'!H24+'6A-Project True-up'!I24</f>
        <v>0</v>
      </c>
      <c r="E47" s="617">
        <v>17</v>
      </c>
      <c r="F47" s="837" t="e">
        <f t="shared" si="0"/>
        <v>#DIV/0!</v>
      </c>
      <c r="G47" s="845" t="e">
        <f t="shared" si="1"/>
        <v>#DIV/0!</v>
      </c>
      <c r="H47" s="836"/>
      <c r="I47" s="822"/>
      <c r="J47" s="836"/>
      <c r="K47" s="616"/>
      <c r="L47" s="616"/>
      <c r="M47" s="798"/>
      <c r="N47" s="798"/>
      <c r="O47" s="798"/>
      <c r="P47" s="682"/>
      <c r="Q47" s="841"/>
    </row>
    <row r="48" spans="1:17">
      <c r="A48" s="745" t="s">
        <v>923</v>
      </c>
      <c r="B48" s="1723"/>
      <c r="C48" s="839">
        <f>+'6A-Project True-up'!C25</f>
        <v>0</v>
      </c>
      <c r="D48" s="617">
        <f>+'6A-Project True-up'!H25+'6A-Project True-up'!I25</f>
        <v>0</v>
      </c>
      <c r="E48" s="617">
        <v>17</v>
      </c>
      <c r="F48" s="837" t="e">
        <f t="shared" si="0"/>
        <v>#DIV/0!</v>
      </c>
      <c r="G48" s="845" t="e">
        <f t="shared" si="1"/>
        <v>#DIV/0!</v>
      </c>
      <c r="H48" s="836"/>
      <c r="I48" s="822"/>
      <c r="J48" s="836"/>
      <c r="K48" s="616"/>
      <c r="L48" s="616"/>
      <c r="M48" s="798"/>
      <c r="N48" s="798"/>
      <c r="O48" s="798"/>
      <c r="P48" s="682"/>
      <c r="Q48" s="841"/>
    </row>
    <row r="49" spans="1:17">
      <c r="A49" s="745" t="s">
        <v>924</v>
      </c>
      <c r="B49" s="1723"/>
      <c r="C49" s="839">
        <f>+'6A-Project True-up'!C26</f>
        <v>0</v>
      </c>
      <c r="D49" s="617">
        <f>+'6A-Project True-up'!H26+'6A-Project True-up'!I26</f>
        <v>0</v>
      </c>
      <c r="E49" s="617">
        <v>17</v>
      </c>
      <c r="F49" s="837" t="e">
        <f t="shared" si="0"/>
        <v>#DIV/0!</v>
      </c>
      <c r="G49" s="845" t="e">
        <f t="shared" si="1"/>
        <v>#DIV/0!</v>
      </c>
      <c r="H49" s="836"/>
      <c r="I49" s="822"/>
      <c r="J49" s="836"/>
      <c r="K49" s="616"/>
      <c r="L49" s="616"/>
      <c r="M49" s="798"/>
      <c r="N49" s="798"/>
      <c r="O49" s="798"/>
      <c r="P49" s="682"/>
      <c r="Q49" s="841"/>
    </row>
    <row r="50" spans="1:17">
      <c r="A50" s="745" t="s">
        <v>925</v>
      </c>
      <c r="B50" s="1723"/>
      <c r="C50" s="839">
        <f>+'6A-Project True-up'!C27</f>
        <v>0</v>
      </c>
      <c r="D50" s="617">
        <f>+'6A-Project True-up'!H27+'6A-Project True-up'!I27</f>
        <v>0</v>
      </c>
      <c r="E50" s="617">
        <v>17</v>
      </c>
      <c r="F50" s="837" t="e">
        <f t="shared" si="0"/>
        <v>#DIV/0!</v>
      </c>
      <c r="G50" s="845" t="e">
        <f t="shared" si="1"/>
        <v>#DIV/0!</v>
      </c>
      <c r="H50" s="836"/>
      <c r="I50" s="822"/>
      <c r="J50" s="836"/>
      <c r="K50" s="616"/>
      <c r="L50" s="616"/>
      <c r="M50" s="798"/>
      <c r="N50" s="798"/>
      <c r="O50" s="798"/>
      <c r="P50" s="682"/>
      <c r="Q50" s="841"/>
    </row>
    <row r="51" spans="1:17">
      <c r="A51" s="745" t="s">
        <v>926</v>
      </c>
      <c r="B51" s="1723"/>
      <c r="C51" s="839">
        <f>+'6A-Project True-up'!C28</f>
        <v>0</v>
      </c>
      <c r="D51" s="617">
        <f>+'6A-Project True-up'!H28+'6A-Project True-up'!I28</f>
        <v>0</v>
      </c>
      <c r="E51" s="617">
        <v>17</v>
      </c>
      <c r="F51" s="837" t="e">
        <f t="shared" si="0"/>
        <v>#DIV/0!</v>
      </c>
      <c r="G51" s="845" t="e">
        <f t="shared" ref="G51:G59" si="2">+D51*E51*F51</f>
        <v>#DIV/0!</v>
      </c>
      <c r="H51" s="836"/>
      <c r="I51" s="822"/>
      <c r="J51" s="836"/>
      <c r="K51" s="616"/>
      <c r="L51" s="616"/>
      <c r="M51" s="798"/>
      <c r="N51" s="798"/>
      <c r="O51" s="798"/>
      <c r="P51" s="682"/>
      <c r="Q51" s="841"/>
    </row>
    <row r="52" spans="1:17">
      <c r="A52" s="745" t="s">
        <v>927</v>
      </c>
      <c r="B52" s="1723"/>
      <c r="C52" s="839">
        <f>+'6A-Project True-up'!C29</f>
        <v>0</v>
      </c>
      <c r="D52" s="617">
        <f>+'6A-Project True-up'!H29+'6A-Project True-up'!I29</f>
        <v>0</v>
      </c>
      <c r="E52" s="617">
        <v>17</v>
      </c>
      <c r="F52" s="837" t="e">
        <f t="shared" si="0"/>
        <v>#DIV/0!</v>
      </c>
      <c r="G52" s="845" t="e">
        <f t="shared" si="2"/>
        <v>#DIV/0!</v>
      </c>
      <c r="H52" s="836"/>
      <c r="I52" s="822"/>
      <c r="J52" s="836"/>
      <c r="K52" s="616"/>
      <c r="L52" s="616"/>
      <c r="M52" s="798"/>
      <c r="N52" s="798"/>
      <c r="O52" s="798"/>
      <c r="P52" s="682"/>
      <c r="Q52" s="841"/>
    </row>
    <row r="53" spans="1:17">
      <c r="A53" s="745" t="s">
        <v>928</v>
      </c>
      <c r="B53" s="1723"/>
      <c r="C53" s="839">
        <f>+'6A-Project True-up'!C30</f>
        <v>0</v>
      </c>
      <c r="D53" s="617">
        <f>+'6A-Project True-up'!H30+'6A-Project True-up'!I30</f>
        <v>0</v>
      </c>
      <c r="E53" s="617">
        <v>17</v>
      </c>
      <c r="F53" s="837" t="e">
        <f t="shared" si="0"/>
        <v>#DIV/0!</v>
      </c>
      <c r="G53" s="845" t="e">
        <f t="shared" si="2"/>
        <v>#DIV/0!</v>
      </c>
      <c r="H53" s="836"/>
      <c r="I53" s="822"/>
      <c r="J53" s="836"/>
      <c r="K53" s="616"/>
      <c r="L53" s="616"/>
      <c r="M53" s="798"/>
      <c r="N53" s="798"/>
      <c r="O53" s="798"/>
      <c r="P53" s="682"/>
      <c r="Q53" s="841"/>
    </row>
    <row r="54" spans="1:17">
      <c r="A54" s="745" t="s">
        <v>929</v>
      </c>
      <c r="B54" s="1723"/>
      <c r="C54" s="839">
        <f>+'6A-Project True-up'!C31</f>
        <v>0</v>
      </c>
      <c r="D54" s="617">
        <f>+'6A-Project True-up'!H31+'6A-Project True-up'!I31</f>
        <v>0</v>
      </c>
      <c r="E54" s="617">
        <v>17</v>
      </c>
      <c r="F54" s="837" t="e">
        <f t="shared" si="0"/>
        <v>#DIV/0!</v>
      </c>
      <c r="G54" s="845" t="e">
        <f t="shared" si="2"/>
        <v>#DIV/0!</v>
      </c>
      <c r="H54" s="836"/>
      <c r="I54" s="822"/>
      <c r="J54" s="836"/>
      <c r="K54" s="616"/>
      <c r="L54" s="616"/>
      <c r="M54" s="798"/>
      <c r="N54" s="798"/>
      <c r="O54" s="798"/>
      <c r="P54" s="682"/>
      <c r="Q54" s="841"/>
    </row>
    <row r="55" spans="1:17">
      <c r="A55" s="745" t="s">
        <v>930</v>
      </c>
      <c r="B55" s="1723"/>
      <c r="C55" s="839">
        <f>+'6A-Project True-up'!C32</f>
        <v>0</v>
      </c>
      <c r="D55" s="617">
        <f>+'6A-Project True-up'!H32+'6A-Project True-up'!I32</f>
        <v>0</v>
      </c>
      <c r="E55" s="617">
        <v>17</v>
      </c>
      <c r="F55" s="837" t="e">
        <f t="shared" si="0"/>
        <v>#DIV/0!</v>
      </c>
      <c r="G55" s="845" t="e">
        <f t="shared" si="2"/>
        <v>#DIV/0!</v>
      </c>
      <c r="H55" s="836"/>
      <c r="I55" s="822"/>
      <c r="J55" s="836"/>
      <c r="K55" s="616"/>
      <c r="L55" s="616"/>
      <c r="M55" s="798"/>
      <c r="N55" s="798"/>
      <c r="O55" s="798"/>
      <c r="P55" s="682"/>
      <c r="Q55" s="841"/>
    </row>
    <row r="56" spans="1:17">
      <c r="A56" s="745" t="s">
        <v>931</v>
      </c>
      <c r="B56" s="1723"/>
      <c r="C56" s="839">
        <f>+'6A-Project True-up'!C33</f>
        <v>0</v>
      </c>
      <c r="D56" s="617">
        <f>+'6A-Project True-up'!H33+'6A-Project True-up'!I33</f>
        <v>0</v>
      </c>
      <c r="E56" s="617">
        <v>17</v>
      </c>
      <c r="F56" s="837" t="e">
        <f t="shared" si="0"/>
        <v>#DIV/0!</v>
      </c>
      <c r="G56" s="845" t="e">
        <f t="shared" si="2"/>
        <v>#DIV/0!</v>
      </c>
      <c r="H56" s="836"/>
      <c r="I56" s="822"/>
      <c r="J56" s="836"/>
      <c r="K56" s="616"/>
      <c r="L56" s="616"/>
      <c r="M56" s="798"/>
      <c r="N56" s="798"/>
      <c r="O56" s="798"/>
      <c r="P56" s="682"/>
      <c r="Q56" s="841"/>
    </row>
    <row r="57" spans="1:17">
      <c r="A57" s="745" t="s">
        <v>932</v>
      </c>
      <c r="B57" s="1723"/>
      <c r="C57" s="839">
        <f>+'6A-Project True-up'!C34</f>
        <v>0</v>
      </c>
      <c r="D57" s="617">
        <f>+'6A-Project True-up'!H34+'6A-Project True-up'!I34</f>
        <v>0</v>
      </c>
      <c r="E57" s="617">
        <v>17</v>
      </c>
      <c r="F57" s="837" t="e">
        <f t="shared" si="0"/>
        <v>#DIV/0!</v>
      </c>
      <c r="G57" s="845" t="e">
        <f t="shared" si="2"/>
        <v>#DIV/0!</v>
      </c>
      <c r="H57" s="836"/>
      <c r="I57" s="822"/>
      <c r="J57" s="836"/>
      <c r="K57" s="616"/>
      <c r="L57" s="616"/>
      <c r="M57" s="798"/>
      <c r="N57" s="798"/>
      <c r="O57" s="798"/>
      <c r="P57" s="682"/>
      <c r="Q57" s="841"/>
    </row>
    <row r="58" spans="1:17">
      <c r="A58" s="745" t="s">
        <v>1524</v>
      </c>
      <c r="B58" s="1723"/>
      <c r="C58" s="839">
        <f>+'6A-Project True-up'!C35</f>
        <v>0</v>
      </c>
      <c r="D58" s="617">
        <f>+'6A-Project True-up'!H35+'6A-Project True-up'!I35</f>
        <v>0</v>
      </c>
      <c r="E58" s="617">
        <v>17</v>
      </c>
      <c r="F58" s="837" t="e">
        <f t="shared" si="0"/>
        <v>#DIV/0!</v>
      </c>
      <c r="G58" s="845" t="e">
        <f t="shared" si="2"/>
        <v>#DIV/0!</v>
      </c>
      <c r="H58" s="836"/>
      <c r="I58" s="798"/>
      <c r="J58" s="798"/>
      <c r="K58" s="616"/>
      <c r="L58" s="616"/>
      <c r="M58" s="798"/>
      <c r="N58" s="798"/>
      <c r="O58" s="798"/>
      <c r="P58" s="682"/>
      <c r="Q58" s="841"/>
    </row>
    <row r="59" spans="1:17">
      <c r="A59" s="745" t="s">
        <v>1558</v>
      </c>
      <c r="B59" s="1723"/>
      <c r="C59" s="839"/>
      <c r="D59" s="617">
        <f>+'6A-Project True-up'!H37+'6A-Project True-up'!I37</f>
        <v>0</v>
      </c>
      <c r="E59" s="617">
        <v>17</v>
      </c>
      <c r="F59" s="837" t="e">
        <f t="shared" si="0"/>
        <v>#DIV/0!</v>
      </c>
      <c r="G59" s="845" t="e">
        <f t="shared" si="2"/>
        <v>#DIV/0!</v>
      </c>
      <c r="H59" s="836"/>
      <c r="I59" s="798"/>
      <c r="J59" s="798"/>
      <c r="K59" s="616"/>
      <c r="L59" s="616"/>
      <c r="M59" s="798"/>
      <c r="N59" s="798"/>
      <c r="O59" s="798"/>
      <c r="P59" s="682"/>
      <c r="Q59" s="841"/>
    </row>
    <row r="60" spans="1:17">
      <c r="A60" s="745" t="s">
        <v>1559</v>
      </c>
      <c r="B60" s="839"/>
      <c r="C60" s="839"/>
      <c r="D60" s="836"/>
      <c r="E60" s="617"/>
      <c r="F60" s="837"/>
      <c r="G60" s="845"/>
      <c r="H60" s="836"/>
      <c r="I60" s="798"/>
      <c r="J60" s="798"/>
      <c r="K60" s="616"/>
      <c r="L60" s="616"/>
      <c r="M60" s="798"/>
      <c r="N60" s="798"/>
      <c r="O60" s="798"/>
      <c r="P60" s="682"/>
      <c r="Q60" s="841"/>
    </row>
    <row r="61" spans="1:17">
      <c r="A61" s="745" t="s">
        <v>1560</v>
      </c>
      <c r="B61" s="839"/>
      <c r="C61" s="839"/>
      <c r="D61" s="836"/>
      <c r="E61" s="617"/>
      <c r="F61" s="837"/>
      <c r="G61" s="845"/>
      <c r="H61" s="836"/>
      <c r="K61" s="616"/>
      <c r="L61" s="616"/>
      <c r="M61" s="798"/>
      <c r="N61" s="798"/>
      <c r="O61" s="798"/>
      <c r="P61" s="682"/>
      <c r="Q61" s="841"/>
    </row>
    <row r="62" spans="1:17">
      <c r="A62" s="745"/>
      <c r="B62" s="839"/>
      <c r="C62" s="839"/>
      <c r="D62" s="836"/>
      <c r="E62" s="617"/>
      <c r="F62" s="837"/>
      <c r="G62" s="838"/>
      <c r="H62" s="836"/>
      <c r="K62" s="616"/>
      <c r="L62" s="616"/>
      <c r="M62" s="798"/>
      <c r="N62" s="798"/>
      <c r="O62" s="798"/>
      <c r="P62" s="682"/>
      <c r="Q62" s="841"/>
    </row>
    <row r="63" spans="1:17">
      <c r="A63" s="745"/>
      <c r="B63" s="839"/>
      <c r="C63" s="839"/>
      <c r="D63" s="836"/>
      <c r="E63" s="617"/>
      <c r="F63" s="837"/>
      <c r="G63" s="838"/>
      <c r="H63" s="836"/>
      <c r="K63" s="616"/>
      <c r="L63" s="616"/>
      <c r="M63" s="798"/>
      <c r="N63" s="798"/>
      <c r="O63" s="798"/>
      <c r="P63" s="682"/>
      <c r="Q63" s="841"/>
    </row>
    <row r="64" spans="1:17">
      <c r="A64" s="745"/>
      <c r="B64" s="839"/>
      <c r="C64" s="839"/>
      <c r="D64" s="836"/>
      <c r="E64" s="617"/>
      <c r="F64" s="837"/>
      <c r="G64" s="838"/>
      <c r="H64" s="836"/>
      <c r="K64" s="616"/>
      <c r="L64" s="616"/>
      <c r="M64" s="798"/>
      <c r="N64" s="798"/>
      <c r="O64" s="798"/>
      <c r="P64" s="682"/>
      <c r="Q64" s="841"/>
    </row>
    <row r="65" spans="1:17">
      <c r="A65" s="745"/>
      <c r="B65" s="839"/>
      <c r="C65" s="839"/>
      <c r="D65" s="836"/>
      <c r="E65" s="617"/>
      <c r="F65" s="837"/>
      <c r="G65" s="838"/>
      <c r="H65" s="836"/>
      <c r="K65" s="616"/>
      <c r="L65" s="616"/>
      <c r="M65" s="798"/>
      <c r="N65" s="798"/>
      <c r="O65" s="798"/>
      <c r="P65" s="682"/>
      <c r="Q65" s="841"/>
    </row>
    <row r="66" spans="1:17">
      <c r="A66" s="745"/>
      <c r="B66" s="1078"/>
      <c r="C66" s="840"/>
      <c r="D66" s="836"/>
      <c r="E66" s="617"/>
      <c r="F66" s="837"/>
      <c r="G66" s="838"/>
      <c r="H66" s="836"/>
      <c r="K66" s="616"/>
      <c r="L66" s="616"/>
      <c r="M66" s="798"/>
      <c r="N66" s="798"/>
      <c r="O66" s="798"/>
      <c r="P66" s="682"/>
      <c r="Q66" s="841"/>
    </row>
    <row r="67" spans="1:17">
      <c r="A67" s="745"/>
      <c r="B67" s="1078"/>
      <c r="C67" s="720"/>
      <c r="D67" s="836"/>
      <c r="E67" s="617"/>
      <c r="F67" s="837"/>
      <c r="G67" s="838"/>
      <c r="H67" s="836"/>
      <c r="K67" s="616"/>
      <c r="L67" s="616"/>
      <c r="M67" s="798"/>
      <c r="N67" s="798"/>
      <c r="O67" s="798"/>
      <c r="P67" s="682"/>
      <c r="Q67" s="841"/>
    </row>
    <row r="68" spans="1:17">
      <c r="A68" s="745"/>
      <c r="B68" s="1078"/>
      <c r="C68" s="720"/>
      <c r="D68" s="836"/>
      <c r="E68" s="617"/>
      <c r="F68" s="837"/>
      <c r="G68" s="838"/>
      <c r="H68" s="836"/>
      <c r="K68" s="616"/>
      <c r="L68" s="616"/>
      <c r="M68" s="798"/>
      <c r="N68" s="798"/>
      <c r="O68" s="798"/>
      <c r="P68" s="682"/>
      <c r="Q68" s="841"/>
    </row>
    <row r="69" spans="1:17">
      <c r="A69" s="745"/>
      <c r="B69" s="1078"/>
      <c r="C69" s="840"/>
      <c r="D69" s="836"/>
      <c r="E69" s="617"/>
      <c r="F69" s="837"/>
      <c r="G69" s="838"/>
      <c r="H69" s="836"/>
      <c r="K69" s="616"/>
      <c r="L69" s="616"/>
      <c r="M69" s="798"/>
      <c r="N69" s="798"/>
      <c r="O69" s="798"/>
      <c r="P69" s="682"/>
      <c r="Q69" s="841"/>
    </row>
    <row r="70" spans="1:17">
      <c r="A70" s="745"/>
      <c r="B70" s="1079" t="s">
        <v>59</v>
      </c>
      <c r="C70" s="842"/>
      <c r="D70" s="846">
        <f>SUM(D41:D69)</f>
        <v>0</v>
      </c>
      <c r="E70" s="843"/>
      <c r="F70" s="843"/>
      <c r="G70" s="847" t="e">
        <f>SUM(G41:G69)</f>
        <v>#DIV/0!</v>
      </c>
      <c r="H70" s="836"/>
      <c r="K70" s="616"/>
      <c r="L70" s="616"/>
      <c r="M70" s="798"/>
      <c r="N70" s="798"/>
      <c r="O70" s="798"/>
      <c r="P70" s="682"/>
      <c r="Q70" s="841"/>
    </row>
    <row r="71" spans="1:17">
      <c r="A71" s="745"/>
      <c r="B71" s="822"/>
      <c r="C71" s="822"/>
      <c r="D71" s="823"/>
      <c r="E71" s="844"/>
      <c r="F71" s="822"/>
      <c r="G71" s="844"/>
      <c r="H71" s="823"/>
      <c r="K71" s="822"/>
      <c r="L71" s="822"/>
      <c r="M71" s="798"/>
      <c r="N71" s="798"/>
      <c r="O71" s="798"/>
      <c r="P71" s="682"/>
      <c r="Q71" s="798"/>
    </row>
    <row r="72" spans="1:17">
      <c r="A72" s="745"/>
      <c r="B72" s="821"/>
      <c r="C72" s="821"/>
      <c r="D72" s="836"/>
      <c r="E72" s="836"/>
      <c r="F72" s="836"/>
      <c r="G72" s="836"/>
      <c r="H72" s="836"/>
      <c r="K72" s="836"/>
      <c r="L72" s="836"/>
      <c r="M72" s="798"/>
      <c r="N72" s="798"/>
      <c r="O72" s="798"/>
      <c r="P72" s="798"/>
      <c r="Q72" s="798"/>
    </row>
    <row r="73" spans="1:17">
      <c r="A73" s="745"/>
      <c r="B73" s="821"/>
      <c r="C73" s="821"/>
      <c r="D73" s="776"/>
      <c r="E73" s="776"/>
      <c r="F73" s="776"/>
      <c r="G73" s="776"/>
      <c r="H73" s="776"/>
      <c r="K73" s="776"/>
      <c r="L73" s="776"/>
    </row>
    <row r="74" spans="1:17">
      <c r="A74" s="745"/>
      <c r="B74" s="821"/>
      <c r="C74" s="821"/>
      <c r="D74" s="776"/>
      <c r="E74" s="776"/>
      <c r="F74" s="776"/>
      <c r="G74" s="776"/>
      <c r="H74" s="776"/>
      <c r="K74" s="776"/>
      <c r="L74" s="776"/>
    </row>
    <row r="75" spans="1:17">
      <c r="A75" s="745"/>
      <c r="B75" s="821"/>
      <c r="C75" s="821"/>
      <c r="D75" s="776"/>
      <c r="E75" s="776"/>
      <c r="F75" s="776"/>
      <c r="G75" s="776"/>
      <c r="H75" s="776"/>
      <c r="K75" s="776"/>
      <c r="L75" s="776"/>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61"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T318"/>
  <sheetViews>
    <sheetView view="pageBreakPreview" topLeftCell="BD1" zoomScale="50" zoomScaleNormal="100" zoomScaleSheetLayoutView="50" workbookViewId="0">
      <selection activeCell="BV18" sqref="BV18"/>
    </sheetView>
  </sheetViews>
  <sheetFormatPr defaultRowHeight="14.5"/>
  <cols>
    <col min="1" max="1" width="9.26953125" bestFit="1" customWidth="1"/>
    <col min="2" max="2" width="27.54296875" customWidth="1"/>
    <col min="3" max="3" width="15.1796875" customWidth="1"/>
    <col min="4" max="4" width="13" style="3" customWidth="1"/>
    <col min="5" max="5" width="13.453125" customWidth="1"/>
    <col min="6" max="6" width="12.7265625" customWidth="1"/>
    <col min="7" max="7" width="13.453125" bestFit="1" customWidth="1"/>
    <col min="8" max="8" width="17.81640625" style="13" customWidth="1"/>
    <col min="9" max="9" width="13.453125" customWidth="1"/>
    <col min="10" max="11" width="12.7265625" customWidth="1"/>
    <col min="12" max="12" width="17.453125" style="13" bestFit="1" customWidth="1"/>
    <col min="13" max="14" width="12.26953125" customWidth="1"/>
    <col min="15" max="15" width="12.81640625" customWidth="1"/>
    <col min="16" max="16" width="12.453125" customWidth="1"/>
    <col min="17" max="17" width="14.453125" bestFit="1" customWidth="1"/>
    <col min="18" max="18" width="12.26953125" customWidth="1"/>
    <col min="19" max="19" width="12.81640625" customWidth="1"/>
    <col min="20" max="20" width="12.453125" customWidth="1"/>
    <col min="21" max="21" width="14.453125" bestFit="1" customWidth="1"/>
    <col min="22" max="22" width="12.26953125" customWidth="1"/>
    <col min="23" max="23" width="12.81640625" customWidth="1"/>
    <col min="24" max="24" width="12.453125" customWidth="1"/>
    <col min="25" max="26" width="12.26953125" customWidth="1"/>
    <col min="27" max="27" width="12.81640625" customWidth="1"/>
    <col min="28" max="28" width="12.453125" customWidth="1"/>
    <col min="29" max="30" width="12.26953125" customWidth="1"/>
    <col min="31" max="31" width="12.81640625" customWidth="1"/>
    <col min="32" max="32" width="12.453125" customWidth="1"/>
    <col min="33" max="34" width="12.26953125" customWidth="1"/>
    <col min="35" max="35" width="12.81640625" customWidth="1"/>
    <col min="36" max="36" width="12.453125" customWidth="1"/>
    <col min="37" max="38" width="12.26953125" customWidth="1"/>
    <col min="39" max="39" width="12.81640625" customWidth="1"/>
    <col min="40" max="40" width="12.453125" customWidth="1"/>
    <col min="41" max="41" width="14.453125" bestFit="1" customWidth="1"/>
    <col min="42" max="42" width="12.26953125" customWidth="1"/>
    <col min="43" max="43" width="12.81640625" customWidth="1"/>
    <col min="44" max="44" width="12.453125" customWidth="1"/>
    <col min="45" max="45" width="14.453125" bestFit="1" customWidth="1"/>
    <col min="46" max="46" width="12.26953125" customWidth="1"/>
    <col min="47" max="47" width="12.81640625" customWidth="1"/>
    <col min="48" max="48" width="12.453125" customWidth="1"/>
    <col min="49" max="49" width="14.453125" bestFit="1" customWidth="1"/>
    <col min="50" max="50" width="12.26953125" customWidth="1"/>
    <col min="51" max="51" width="12.81640625" customWidth="1"/>
    <col min="52" max="52" width="12.453125" customWidth="1"/>
    <col min="53" max="54" width="12.26953125" customWidth="1"/>
    <col min="55" max="55" width="12.81640625" customWidth="1"/>
    <col min="56" max="56" width="12.453125" customWidth="1"/>
    <col min="57" max="58" width="12.26953125" customWidth="1"/>
    <col min="59" max="59" width="12.81640625" customWidth="1"/>
    <col min="60" max="60" width="12.453125" customWidth="1"/>
    <col min="61" max="68" width="12.453125" style="1052" customWidth="1"/>
    <col min="69" max="70" width="12.26953125" style="1052" customWidth="1"/>
    <col min="71" max="71" width="12.81640625" style="1052" customWidth="1"/>
    <col min="72" max="72" width="12.453125" style="1052" customWidth="1"/>
    <col min="73" max="74" width="12.26953125" customWidth="1"/>
    <col min="75" max="75" width="12.81640625" customWidth="1"/>
    <col min="76" max="76" width="12.453125" customWidth="1"/>
    <col min="77" max="78" width="12.26953125" customWidth="1"/>
    <col min="79" max="79" width="12.81640625" customWidth="1"/>
    <col min="80" max="80" width="12.453125" customWidth="1"/>
    <col min="81" max="81" width="14.453125" bestFit="1" customWidth="1"/>
    <col min="82" max="82" width="21.81640625" customWidth="1"/>
    <col min="83" max="83" width="18.453125" customWidth="1"/>
    <col min="84" max="85" width="12.26953125" bestFit="1" customWidth="1"/>
    <col min="86" max="86" width="14" customWidth="1"/>
    <col min="87" max="87" width="12.26953125" customWidth="1"/>
    <col min="88" max="88" width="12.81640625" bestFit="1" customWidth="1"/>
    <col min="89" max="89" width="13" customWidth="1"/>
    <col min="90" max="90" width="12.81640625" bestFit="1" customWidth="1"/>
  </cols>
  <sheetData>
    <row r="1" spans="1:83" ht="18">
      <c r="C1" s="9" t="s">
        <v>343</v>
      </c>
      <c r="D1" s="10"/>
      <c r="E1" s="10"/>
      <c r="F1" s="10"/>
      <c r="G1" s="10"/>
      <c r="H1" s="10"/>
      <c r="I1" s="10"/>
      <c r="J1" s="10"/>
      <c r="K1" s="10"/>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056"/>
      <c r="BJ1" s="1056"/>
      <c r="BK1" s="1056"/>
      <c r="BL1" s="1056"/>
      <c r="BM1" s="1056"/>
      <c r="BN1" s="1056"/>
      <c r="BO1" s="1056"/>
      <c r="BP1" s="1056"/>
      <c r="BQ1" s="1056"/>
      <c r="BR1" s="1056"/>
      <c r="BS1" s="1056"/>
      <c r="BT1" s="1056"/>
      <c r="BU1" s="11"/>
      <c r="BV1" s="11"/>
      <c r="BW1" s="11"/>
      <c r="BX1" s="11"/>
      <c r="BY1" s="11"/>
      <c r="BZ1" s="11"/>
      <c r="CA1" s="11"/>
      <c r="CB1" s="11"/>
      <c r="CC1" s="11"/>
      <c r="CD1" s="11"/>
      <c r="CE1" s="11"/>
    </row>
    <row r="3" spans="1:83" ht="15.5">
      <c r="C3" s="12" t="s">
        <v>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row>
    <row r="5" spans="1:83">
      <c r="C5" s="1"/>
    </row>
    <row r="8" spans="1:83">
      <c r="A8">
        <v>1</v>
      </c>
      <c r="C8" t="s">
        <v>6</v>
      </c>
    </row>
    <row r="10" spans="1:83">
      <c r="A10">
        <v>2</v>
      </c>
      <c r="C10" s="14" t="s">
        <v>7</v>
      </c>
    </row>
    <row r="11" spans="1:83">
      <c r="A11">
        <v>3</v>
      </c>
      <c r="C11" s="14"/>
      <c r="D11" s="3" t="s">
        <v>8</v>
      </c>
    </row>
    <row r="12" spans="1:83">
      <c r="A12">
        <v>4</v>
      </c>
      <c r="C12" s="3" t="s">
        <v>9</v>
      </c>
      <c r="D12" s="3">
        <v>160</v>
      </c>
      <c r="E12" s="15" t="s">
        <v>550</v>
      </c>
      <c r="H12" s="16"/>
      <c r="I12" s="1818">
        <f>+'ATT H-9A'!H315</f>
        <v>0.12642979569666424</v>
      </c>
      <c r="K12" s="18"/>
      <c r="L12" s="16"/>
    </row>
    <row r="13" spans="1:83">
      <c r="A13">
        <v>5</v>
      </c>
      <c r="C13" s="3" t="s">
        <v>10</v>
      </c>
      <c r="D13" s="3">
        <v>167</v>
      </c>
      <c r="E13" s="15" t="s">
        <v>558</v>
      </c>
      <c r="H13" s="16"/>
      <c r="I13" s="1818">
        <f>+'ATT H-9A'!H325</f>
        <v>0.13231463818760966</v>
      </c>
      <c r="K13" s="18"/>
      <c r="L13" s="16"/>
    </row>
    <row r="14" spans="1:83">
      <c r="A14">
        <v>6</v>
      </c>
      <c r="C14" s="3" t="s">
        <v>11</v>
      </c>
      <c r="E14" t="s">
        <v>12</v>
      </c>
      <c r="H14" s="16"/>
      <c r="I14" s="1818">
        <f>+I13-I12</f>
        <v>5.8848424909454244E-3</v>
      </c>
      <c r="K14" s="18"/>
      <c r="L14" s="16"/>
    </row>
    <row r="15" spans="1:83">
      <c r="H15" s="16"/>
      <c r="I15" s="1818"/>
      <c r="L15" s="16"/>
    </row>
    <row r="16" spans="1:83">
      <c r="A16">
        <v>7</v>
      </c>
      <c r="C16" s="14" t="s">
        <v>13</v>
      </c>
      <c r="H16" s="16"/>
      <c r="I16" s="1819"/>
      <c r="L16" s="16"/>
    </row>
    <row r="17" spans="1:98">
      <c r="C17" s="14"/>
      <c r="H17" s="16"/>
      <c r="I17" s="1819"/>
      <c r="L17" s="16"/>
    </row>
    <row r="18" spans="1:98">
      <c r="A18">
        <v>8</v>
      </c>
      <c r="C18" s="3" t="s">
        <v>14</v>
      </c>
      <c r="D18" s="3">
        <v>161</v>
      </c>
      <c r="E18" s="15" t="s">
        <v>551</v>
      </c>
      <c r="H18" s="16"/>
      <c r="I18" s="1818">
        <f>+'ATT H-9A'!H316</f>
        <v>5.7567985003174074E-2</v>
      </c>
      <c r="L18" s="16"/>
    </row>
    <row r="19" spans="1:98">
      <c r="C19" s="3"/>
      <c r="E19" s="15"/>
      <c r="H19" s="16"/>
      <c r="I19" s="15"/>
      <c r="L19" s="16"/>
      <c r="N19" s="17"/>
      <c r="R19" s="17"/>
      <c r="V19" s="17"/>
      <c r="Z19" s="17"/>
      <c r="AD19" s="17"/>
      <c r="AH19" s="17"/>
      <c r="AL19" s="17"/>
      <c r="AP19" s="17"/>
      <c r="AT19" s="17"/>
      <c r="AX19" s="17"/>
      <c r="BB19" s="17"/>
      <c r="BF19" s="17"/>
      <c r="BR19" s="17"/>
      <c r="BV19" s="17"/>
      <c r="BZ19" s="17"/>
    </row>
    <row r="20" spans="1:98" ht="15.5">
      <c r="C20" s="19"/>
    </row>
    <row r="21" spans="1:98">
      <c r="A21">
        <v>9</v>
      </c>
      <c r="C21" s="6" t="s">
        <v>15</v>
      </c>
    </row>
    <row r="22" spans="1:98">
      <c r="A22">
        <v>10</v>
      </c>
      <c r="C22" s="6" t="s">
        <v>16</v>
      </c>
      <c r="BI22"/>
      <c r="BJ22"/>
      <c r="BK22"/>
      <c r="BL22"/>
      <c r="BM22"/>
      <c r="BN22"/>
      <c r="BO22"/>
      <c r="BP22"/>
      <c r="BQ22"/>
      <c r="BR22"/>
      <c r="BS22"/>
      <c r="BT22"/>
      <c r="BU22" s="20"/>
      <c r="BY22" s="20"/>
    </row>
    <row r="23" spans="1:98" ht="21" customHeight="1" thickBot="1">
      <c r="A23">
        <v>11</v>
      </c>
      <c r="C23" s="6" t="s">
        <v>17</v>
      </c>
      <c r="D23" s="21"/>
      <c r="E23" s="21"/>
      <c r="F23" s="21"/>
      <c r="G23" s="21"/>
      <c r="H23" s="21"/>
      <c r="I23" s="21"/>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CG23" s="5"/>
      <c r="CH23" s="5"/>
      <c r="CI23" s="5"/>
      <c r="CJ23" s="5"/>
      <c r="CK23" s="5"/>
      <c r="CL23" s="5"/>
      <c r="CM23" s="5"/>
      <c r="CN23" s="5"/>
      <c r="CO23" s="5"/>
      <c r="CP23" s="5"/>
      <c r="CQ23" s="5"/>
      <c r="CR23" s="5"/>
      <c r="CS23" s="5"/>
      <c r="CT23" s="5"/>
    </row>
    <row r="24" spans="1:98" ht="49.5" customHeight="1">
      <c r="C24" s="23" t="s">
        <v>18</v>
      </c>
      <c r="D24" s="24"/>
      <c r="E24" s="1983" t="s">
        <v>19</v>
      </c>
      <c r="F24" s="1984"/>
      <c r="G24" s="1984"/>
      <c r="H24" s="1985"/>
      <c r="I24" s="1983" t="s">
        <v>20</v>
      </c>
      <c r="J24" s="1984"/>
      <c r="K24" s="1984"/>
      <c r="L24" s="1985"/>
      <c r="M24" s="1983" t="s">
        <v>21</v>
      </c>
      <c r="N24" s="1984"/>
      <c r="O24" s="1984"/>
      <c r="P24" s="1985"/>
      <c r="Q24" s="1983" t="s">
        <v>22</v>
      </c>
      <c r="R24" s="1984"/>
      <c r="S24" s="1984"/>
      <c r="T24" s="1985"/>
      <c r="U24" s="1983" t="s">
        <v>23</v>
      </c>
      <c r="V24" s="1984"/>
      <c r="W24" s="1984"/>
      <c r="X24" s="1985"/>
      <c r="Y24" s="1983" t="s">
        <v>24</v>
      </c>
      <c r="Z24" s="1984"/>
      <c r="AA24" s="1984"/>
      <c r="AB24" s="1985"/>
      <c r="AC24" s="1983" t="s">
        <v>25</v>
      </c>
      <c r="AD24" s="1984"/>
      <c r="AE24" s="1984"/>
      <c r="AF24" s="1985"/>
      <c r="AG24" s="1983" t="s">
        <v>26</v>
      </c>
      <c r="AH24" s="1984"/>
      <c r="AI24" s="1984"/>
      <c r="AJ24" s="1985"/>
      <c r="AK24" s="1983" t="s">
        <v>27</v>
      </c>
      <c r="AL24" s="1984"/>
      <c r="AM24" s="1984"/>
      <c r="AN24" s="1985"/>
      <c r="AO24" s="1983" t="s">
        <v>28</v>
      </c>
      <c r="AP24" s="1984"/>
      <c r="AQ24" s="1984"/>
      <c r="AR24" s="1985"/>
      <c r="AS24" s="1983" t="s">
        <v>29</v>
      </c>
      <c r="AT24" s="1984"/>
      <c r="AU24" s="1984"/>
      <c r="AV24" s="1985"/>
      <c r="AW24" s="1983" t="s">
        <v>30</v>
      </c>
      <c r="AX24" s="1984"/>
      <c r="AY24" s="1984"/>
      <c r="AZ24" s="1985"/>
      <c r="BA24" s="1983" t="s">
        <v>31</v>
      </c>
      <c r="BB24" s="1984"/>
      <c r="BC24" s="1984"/>
      <c r="BD24" s="1985"/>
      <c r="BE24" s="1983" t="s">
        <v>32</v>
      </c>
      <c r="BF24" s="1984"/>
      <c r="BG24" s="1984"/>
      <c r="BH24" s="1985"/>
      <c r="BI24" s="1983" t="s">
        <v>1515</v>
      </c>
      <c r="BJ24" s="1984"/>
      <c r="BK24" s="1984"/>
      <c r="BL24" s="1985"/>
      <c r="BM24" s="1984" t="s">
        <v>1516</v>
      </c>
      <c r="BN24" s="1984"/>
      <c r="BO24" s="1984"/>
      <c r="BP24" s="1985"/>
      <c r="BQ24" s="1980" t="s">
        <v>1517</v>
      </c>
      <c r="BR24" s="1981"/>
      <c r="BS24" s="1981"/>
      <c r="BT24" s="1982"/>
      <c r="BU24" s="25"/>
      <c r="BV24" s="26"/>
      <c r="BW24" s="27"/>
    </row>
    <row r="25" spans="1:98" ht="37.5">
      <c r="A25">
        <v>12</v>
      </c>
      <c r="B25" s="28" t="s">
        <v>33</v>
      </c>
      <c r="C25" s="29" t="s">
        <v>34</v>
      </c>
      <c r="D25" s="30" t="s">
        <v>35</v>
      </c>
      <c r="E25" s="31" t="s">
        <v>36</v>
      </c>
      <c r="F25" s="32"/>
      <c r="G25" s="32"/>
      <c r="H25" s="33"/>
      <c r="I25" s="31" t="s">
        <v>37</v>
      </c>
      <c r="J25" s="34"/>
      <c r="K25" s="34"/>
      <c r="L25" s="35"/>
      <c r="M25" s="31" t="s">
        <v>36</v>
      </c>
      <c r="N25" s="34"/>
      <c r="O25" s="34"/>
      <c r="P25" s="35"/>
      <c r="Q25" s="31" t="s">
        <v>36</v>
      </c>
      <c r="R25" s="34"/>
      <c r="S25" s="34"/>
      <c r="T25" s="35"/>
      <c r="U25" s="31" t="s">
        <v>36</v>
      </c>
      <c r="V25" s="34"/>
      <c r="W25" s="34"/>
      <c r="X25" s="35"/>
      <c r="Y25" s="31" t="s">
        <v>36</v>
      </c>
      <c r="Z25" s="34"/>
      <c r="AA25" s="34"/>
      <c r="AB25" s="35"/>
      <c r="AC25" s="31" t="s">
        <v>36</v>
      </c>
      <c r="AD25" s="34"/>
      <c r="AE25" s="34"/>
      <c r="AF25" s="35"/>
      <c r="AG25" s="31" t="s">
        <v>36</v>
      </c>
      <c r="AH25" s="34"/>
      <c r="AI25" s="34"/>
      <c r="AJ25" s="35"/>
      <c r="AK25" s="31" t="s">
        <v>36</v>
      </c>
      <c r="AL25" s="34"/>
      <c r="AM25" s="34"/>
      <c r="AN25" s="35"/>
      <c r="AO25" s="31" t="s">
        <v>36</v>
      </c>
      <c r="AP25" s="34"/>
      <c r="AQ25" s="34"/>
      <c r="AR25" s="35"/>
      <c r="AS25" s="31" t="s">
        <v>36</v>
      </c>
      <c r="AT25" s="34"/>
      <c r="AU25" s="34"/>
      <c r="AV25" s="35"/>
      <c r="AW25" s="31" t="s">
        <v>36</v>
      </c>
      <c r="AX25" s="34"/>
      <c r="AY25" s="34"/>
      <c r="AZ25" s="35"/>
      <c r="BA25" s="31" t="s">
        <v>36</v>
      </c>
      <c r="BB25" s="34"/>
      <c r="BC25" s="34"/>
      <c r="BD25" s="35"/>
      <c r="BE25" s="31" t="s">
        <v>36</v>
      </c>
      <c r="BF25" s="34"/>
      <c r="BG25" s="34"/>
      <c r="BH25" s="35"/>
      <c r="BI25" s="31" t="s">
        <v>36</v>
      </c>
      <c r="BJ25" s="34"/>
      <c r="BK25" s="34"/>
      <c r="BL25" s="35"/>
      <c r="BM25" s="31" t="s">
        <v>36</v>
      </c>
      <c r="BN25" s="34"/>
      <c r="BO25" s="34"/>
      <c r="BP25" s="34"/>
      <c r="BQ25" s="31" t="s">
        <v>36</v>
      </c>
      <c r="BR25" s="34"/>
      <c r="BS25" s="34"/>
      <c r="BT25" s="35"/>
      <c r="BU25" s="36"/>
      <c r="BV25" s="37"/>
      <c r="BW25" s="38"/>
    </row>
    <row r="26" spans="1:98">
      <c r="A26">
        <v>13</v>
      </c>
      <c r="B26" t="s">
        <v>38</v>
      </c>
      <c r="C26" s="29" t="s">
        <v>39</v>
      </c>
      <c r="D26" s="30"/>
      <c r="E26" s="31">
        <v>35</v>
      </c>
      <c r="F26" s="39"/>
      <c r="G26" s="39"/>
      <c r="H26" s="40"/>
      <c r="I26" s="31">
        <v>35</v>
      </c>
      <c r="J26" s="39"/>
      <c r="K26" s="39"/>
      <c r="L26" s="30"/>
      <c r="M26" s="31">
        <v>35</v>
      </c>
      <c r="N26" s="39"/>
      <c r="O26" s="39"/>
      <c r="P26" s="30"/>
      <c r="Q26" s="31">
        <v>35</v>
      </c>
      <c r="R26" s="39"/>
      <c r="S26" s="39"/>
      <c r="T26" s="30"/>
      <c r="U26" s="31">
        <v>35</v>
      </c>
      <c r="V26" s="39"/>
      <c r="W26" s="39"/>
      <c r="X26" s="30"/>
      <c r="Y26" s="31">
        <v>35</v>
      </c>
      <c r="Z26" s="39"/>
      <c r="AA26" s="39"/>
      <c r="AB26" s="30"/>
      <c r="AC26" s="31">
        <v>35</v>
      </c>
      <c r="AD26" s="39"/>
      <c r="AE26" s="39"/>
      <c r="AF26" s="30"/>
      <c r="AG26" s="31">
        <v>35</v>
      </c>
      <c r="AH26" s="39"/>
      <c r="AI26" s="39"/>
      <c r="AJ26" s="30"/>
      <c r="AK26" s="31">
        <v>35</v>
      </c>
      <c r="AL26" s="39"/>
      <c r="AM26" s="39"/>
      <c r="AN26" s="30"/>
      <c r="AO26" s="31">
        <v>35</v>
      </c>
      <c r="AP26" s="39"/>
      <c r="AQ26" s="39"/>
      <c r="AR26" s="30"/>
      <c r="AS26" s="31">
        <v>35</v>
      </c>
      <c r="AT26" s="39"/>
      <c r="AU26" s="39"/>
      <c r="AV26" s="30"/>
      <c r="AW26" s="31">
        <v>35</v>
      </c>
      <c r="AX26" s="39"/>
      <c r="AY26" s="39"/>
      <c r="AZ26" s="30"/>
      <c r="BA26" s="31">
        <v>35</v>
      </c>
      <c r="BB26" s="39"/>
      <c r="BC26" s="39"/>
      <c r="BD26" s="30"/>
      <c r="BE26" s="31">
        <v>35</v>
      </c>
      <c r="BF26" s="39"/>
      <c r="BG26" s="39"/>
      <c r="BH26" s="30"/>
      <c r="BI26" s="31">
        <v>35</v>
      </c>
      <c r="BJ26" s="39"/>
      <c r="BK26" s="39"/>
      <c r="BL26" s="30"/>
      <c r="BM26" s="31">
        <v>35</v>
      </c>
      <c r="BN26" s="39"/>
      <c r="BO26" s="39"/>
      <c r="BP26" s="39"/>
      <c r="BQ26" s="31">
        <v>35</v>
      </c>
      <c r="BR26" s="39"/>
      <c r="BS26" s="39"/>
      <c r="BT26" s="30"/>
      <c r="BU26" s="36"/>
      <c r="BV26" s="37"/>
      <c r="BW26" s="38"/>
    </row>
    <row r="27" spans="1:98" ht="50">
      <c r="A27">
        <v>14</v>
      </c>
      <c r="B27" s="41" t="s">
        <v>40</v>
      </c>
      <c r="C27" s="29" t="s">
        <v>41</v>
      </c>
      <c r="D27" s="30" t="s">
        <v>35</v>
      </c>
      <c r="E27" s="31" t="s">
        <v>37</v>
      </c>
      <c r="F27" s="39"/>
      <c r="G27" s="39"/>
      <c r="H27" s="40"/>
      <c r="I27" s="31" t="s">
        <v>37</v>
      </c>
      <c r="J27" s="39"/>
      <c r="K27" s="39"/>
      <c r="L27" s="30"/>
      <c r="M27" s="31" t="s">
        <v>37</v>
      </c>
      <c r="N27" s="39"/>
      <c r="O27" s="39"/>
      <c r="P27" s="30"/>
      <c r="Q27" s="31" t="s">
        <v>37</v>
      </c>
      <c r="R27" s="39"/>
      <c r="S27" s="39"/>
      <c r="T27" s="30"/>
      <c r="U27" s="31" t="s">
        <v>37</v>
      </c>
      <c r="V27" s="39"/>
      <c r="W27" s="39"/>
      <c r="X27" s="30"/>
      <c r="Y27" s="31" t="s">
        <v>37</v>
      </c>
      <c r="Z27" s="39"/>
      <c r="AA27" s="39"/>
      <c r="AB27" s="30"/>
      <c r="AC27" s="31" t="s">
        <v>37</v>
      </c>
      <c r="AD27" s="39"/>
      <c r="AE27" s="39"/>
      <c r="AF27" s="30"/>
      <c r="AG27" s="31" t="s">
        <v>37</v>
      </c>
      <c r="AH27" s="39"/>
      <c r="AI27" s="39"/>
      <c r="AJ27" s="30"/>
      <c r="AK27" s="31" t="s">
        <v>37</v>
      </c>
      <c r="AL27" s="39"/>
      <c r="AM27" s="39"/>
      <c r="AN27" s="30"/>
      <c r="AO27" s="31" t="s">
        <v>37</v>
      </c>
      <c r="AP27" s="39"/>
      <c r="AQ27" s="39"/>
      <c r="AR27" s="30"/>
      <c r="AS27" s="31" t="s">
        <v>37</v>
      </c>
      <c r="AT27" s="39"/>
      <c r="AU27" s="39"/>
      <c r="AV27" s="30"/>
      <c r="AW27" s="31" t="s">
        <v>37</v>
      </c>
      <c r="AX27" s="39"/>
      <c r="AY27" s="39"/>
      <c r="AZ27" s="30"/>
      <c r="BA27" s="31" t="s">
        <v>37</v>
      </c>
      <c r="BB27" s="39"/>
      <c r="BC27" s="39"/>
      <c r="BD27" s="30"/>
      <c r="BE27" s="31" t="s">
        <v>37</v>
      </c>
      <c r="BF27" s="39"/>
      <c r="BG27" s="39"/>
      <c r="BH27" s="30"/>
      <c r="BI27" s="31" t="s">
        <v>37</v>
      </c>
      <c r="BJ27" s="39"/>
      <c r="BK27" s="39"/>
      <c r="BL27" s="30"/>
      <c r="BM27" s="31" t="s">
        <v>37</v>
      </c>
      <c r="BN27" s="39"/>
      <c r="BO27" s="39"/>
      <c r="BP27" s="39"/>
      <c r="BQ27" s="31" t="s">
        <v>37</v>
      </c>
      <c r="BR27" s="39"/>
      <c r="BS27" s="39"/>
      <c r="BT27" s="30"/>
      <c r="BU27" s="36"/>
      <c r="BV27" s="37"/>
      <c r="BW27" s="38"/>
    </row>
    <row r="28" spans="1:98">
      <c r="A28">
        <v>15</v>
      </c>
      <c r="B28" s="41" t="s">
        <v>42</v>
      </c>
      <c r="C28" s="29" t="s">
        <v>43</v>
      </c>
      <c r="D28" s="30"/>
      <c r="E28" s="31">
        <v>150</v>
      </c>
      <c r="F28" s="39"/>
      <c r="G28" s="39"/>
      <c r="H28" s="40"/>
      <c r="I28" s="31">
        <v>150</v>
      </c>
      <c r="J28" s="39"/>
      <c r="K28" s="39"/>
      <c r="L28" s="30"/>
      <c r="M28" s="31">
        <v>150</v>
      </c>
      <c r="N28" s="39"/>
      <c r="O28" s="39"/>
      <c r="P28" s="30"/>
      <c r="Q28" s="31">
        <v>0</v>
      </c>
      <c r="R28" s="39"/>
      <c r="S28" s="39"/>
      <c r="T28" s="30"/>
      <c r="U28" s="31">
        <v>0</v>
      </c>
      <c r="V28" s="39"/>
      <c r="W28" s="39"/>
      <c r="X28" s="30"/>
      <c r="Y28" s="31">
        <v>0</v>
      </c>
      <c r="Z28" s="39"/>
      <c r="AA28" s="39"/>
      <c r="AB28" s="30"/>
      <c r="AC28" s="31">
        <v>0</v>
      </c>
      <c r="AD28" s="39"/>
      <c r="AE28" s="39"/>
      <c r="AF28" s="30"/>
      <c r="AG28" s="31">
        <v>150</v>
      </c>
      <c r="AH28" s="39"/>
      <c r="AI28" s="39"/>
      <c r="AJ28" s="30"/>
      <c r="AK28" s="31">
        <v>150</v>
      </c>
      <c r="AL28" s="39"/>
      <c r="AM28" s="39"/>
      <c r="AN28" s="30"/>
      <c r="AO28" s="31">
        <v>0</v>
      </c>
      <c r="AP28" s="39"/>
      <c r="AQ28" s="39"/>
      <c r="AR28" s="30"/>
      <c r="AS28" s="31">
        <v>0</v>
      </c>
      <c r="AT28" s="39"/>
      <c r="AU28" s="39"/>
      <c r="AV28" s="30"/>
      <c r="AW28" s="31">
        <v>150</v>
      </c>
      <c r="AX28" s="39"/>
      <c r="AY28" s="39"/>
      <c r="AZ28" s="30"/>
      <c r="BA28" s="31">
        <v>0</v>
      </c>
      <c r="BB28" s="39"/>
      <c r="BC28" s="39"/>
      <c r="BD28" s="30"/>
      <c r="BE28" s="31">
        <v>0</v>
      </c>
      <c r="BF28" s="39"/>
      <c r="BG28" s="39"/>
      <c r="BH28" s="30"/>
      <c r="BI28" s="31">
        <v>0</v>
      </c>
      <c r="BJ28" s="39"/>
      <c r="BK28" s="39"/>
      <c r="BL28" s="30"/>
      <c r="BM28" s="31">
        <v>0</v>
      </c>
      <c r="BN28" s="39"/>
      <c r="BO28" s="39"/>
      <c r="BP28" s="39"/>
      <c r="BQ28" s="31">
        <v>0</v>
      </c>
      <c r="BR28" s="39"/>
      <c r="BS28" s="39"/>
      <c r="BT28" s="30"/>
      <c r="BU28" s="36"/>
      <c r="BV28" s="37"/>
      <c r="BW28" s="38"/>
    </row>
    <row r="29" spans="1:98" ht="37.5">
      <c r="A29">
        <v>16</v>
      </c>
      <c r="B29" s="41" t="s">
        <v>44</v>
      </c>
      <c r="C29" s="29" t="s">
        <v>45</v>
      </c>
      <c r="D29" s="30"/>
      <c r="E29" s="1822">
        <f>+$I$12</f>
        <v>0.12642979569666424</v>
      </c>
      <c r="F29" s="36"/>
      <c r="G29" s="36"/>
      <c r="H29" s="42"/>
      <c r="I29" s="1822">
        <f>+$I$12</f>
        <v>0.12642979569666424</v>
      </c>
      <c r="J29" s="39"/>
      <c r="K29" s="39"/>
      <c r="L29" s="30"/>
      <c r="M29" s="1822">
        <f>+$I$12</f>
        <v>0.12642979569666424</v>
      </c>
      <c r="N29" s="39"/>
      <c r="O29" s="39"/>
      <c r="P29" s="30"/>
      <c r="Q29" s="1822">
        <f>+$I$12</f>
        <v>0.12642979569666424</v>
      </c>
      <c r="R29" s="39"/>
      <c r="S29" s="39"/>
      <c r="T29" s="30"/>
      <c r="U29" s="1822">
        <f>+$I$12</f>
        <v>0.12642979569666424</v>
      </c>
      <c r="V29" s="39"/>
      <c r="W29" s="39"/>
      <c r="X29" s="30"/>
      <c r="Y29" s="1822">
        <f>+$I$12</f>
        <v>0.12642979569666424</v>
      </c>
      <c r="Z29" s="39"/>
      <c r="AA29" s="39"/>
      <c r="AB29" s="30"/>
      <c r="AC29" s="1822">
        <f>+$I$12</f>
        <v>0.12642979569666424</v>
      </c>
      <c r="AD29" s="39"/>
      <c r="AE29" s="39"/>
      <c r="AF29" s="30"/>
      <c r="AG29" s="1822">
        <f>+$I$12</f>
        <v>0.12642979569666424</v>
      </c>
      <c r="AH29" s="39"/>
      <c r="AI29" s="39"/>
      <c r="AJ29" s="30"/>
      <c r="AK29" s="1822">
        <f>+$I$12</f>
        <v>0.12642979569666424</v>
      </c>
      <c r="AL29" s="39"/>
      <c r="AM29" s="39"/>
      <c r="AN29" s="30"/>
      <c r="AO29" s="1822">
        <f>+$I$12</f>
        <v>0.12642979569666424</v>
      </c>
      <c r="AP29" s="39"/>
      <c r="AQ29" s="39"/>
      <c r="AR29" s="30"/>
      <c r="AS29" s="1822">
        <f>+$I$12</f>
        <v>0.12642979569666424</v>
      </c>
      <c r="AT29" s="39"/>
      <c r="AU29" s="39"/>
      <c r="AV29" s="30"/>
      <c r="AW29" s="1822">
        <f>+$I$12</f>
        <v>0.12642979569666424</v>
      </c>
      <c r="AX29" s="39"/>
      <c r="AY29" s="39"/>
      <c r="AZ29" s="30"/>
      <c r="BA29" s="1822">
        <f>+$I$12</f>
        <v>0.12642979569666424</v>
      </c>
      <c r="BB29" s="39"/>
      <c r="BC29" s="39"/>
      <c r="BD29" s="30"/>
      <c r="BE29" s="1822">
        <f>+$I$12</f>
        <v>0.12642979569666424</v>
      </c>
      <c r="BF29" s="39"/>
      <c r="BG29" s="39"/>
      <c r="BH29" s="30"/>
      <c r="BI29" s="1822">
        <f>+$I$12</f>
        <v>0.12642979569666424</v>
      </c>
      <c r="BJ29" s="39"/>
      <c r="BK29" s="39"/>
      <c r="BL29" s="30"/>
      <c r="BM29" s="1822">
        <f>+$I$12</f>
        <v>0.12642979569666424</v>
      </c>
      <c r="BN29" s="39"/>
      <c r="BO29" s="39"/>
      <c r="BP29" s="39"/>
      <c r="BQ29" s="1822">
        <f>+$I$12</f>
        <v>0.12642979569666424</v>
      </c>
      <c r="BR29" s="39"/>
      <c r="BS29" s="39"/>
      <c r="BT29" s="30"/>
      <c r="BU29" s="36"/>
      <c r="BV29" s="37"/>
      <c r="BW29" s="38"/>
    </row>
    <row r="30" spans="1:98" ht="25">
      <c r="A30">
        <v>17</v>
      </c>
      <c r="B30" s="43" t="s">
        <v>46</v>
      </c>
      <c r="C30" s="29" t="s">
        <v>47</v>
      </c>
      <c r="D30" s="875"/>
      <c r="E30" s="1823">
        <f>+$I14*E28/100+E29</f>
        <v>0.13525705943308236</v>
      </c>
      <c r="F30" s="44"/>
      <c r="G30" s="44"/>
      <c r="H30" s="45"/>
      <c r="I30" s="1823">
        <f>+$I14*I28/100+I29</f>
        <v>0.13525705943308236</v>
      </c>
      <c r="J30" s="36"/>
      <c r="K30" s="36"/>
      <c r="L30" s="38"/>
      <c r="M30" s="1823">
        <f>+$I14*M28/100+M29</f>
        <v>0.13525705943308236</v>
      </c>
      <c r="N30" s="36"/>
      <c r="O30" s="36"/>
      <c r="P30" s="38"/>
      <c r="Q30" s="1823">
        <f>+$I14*Q28/100+Q29</f>
        <v>0.12642979569666424</v>
      </c>
      <c r="R30" s="36"/>
      <c r="S30" s="36"/>
      <c r="T30" s="38"/>
      <c r="U30" s="1823">
        <f>+$I14*U28/100+U29</f>
        <v>0.12642979569666424</v>
      </c>
      <c r="V30" s="36"/>
      <c r="W30" s="36"/>
      <c r="X30" s="38"/>
      <c r="Y30" s="1823">
        <f>+$I14*Y28/100+Y29</f>
        <v>0.12642979569666424</v>
      </c>
      <c r="Z30" s="36"/>
      <c r="AA30" s="36"/>
      <c r="AB30" s="38"/>
      <c r="AC30" s="1823">
        <f>+$I14*AC28/100+AC29</f>
        <v>0.12642979569666424</v>
      </c>
      <c r="AD30" s="36"/>
      <c r="AE30" s="36"/>
      <c r="AF30" s="38"/>
      <c r="AG30" s="1823">
        <f>+$I14*AG28/100+AG29</f>
        <v>0.13525705943308236</v>
      </c>
      <c r="AH30" s="36"/>
      <c r="AI30" s="36"/>
      <c r="AJ30" s="38"/>
      <c r="AK30" s="1823">
        <f>+$I14*AK28/100+AK29</f>
        <v>0.13525705943308236</v>
      </c>
      <c r="AL30" s="36"/>
      <c r="AM30" s="36"/>
      <c r="AN30" s="38"/>
      <c r="AO30" s="1823">
        <f>+$I14*AO28/100+AO29</f>
        <v>0.12642979569666424</v>
      </c>
      <c r="AP30" s="36"/>
      <c r="AQ30" s="36"/>
      <c r="AR30" s="38"/>
      <c r="AS30" s="1823">
        <f>+$I14*AS28/100+AS29</f>
        <v>0.12642979569666424</v>
      </c>
      <c r="AT30" s="36"/>
      <c r="AU30" s="36"/>
      <c r="AV30" s="38"/>
      <c r="AW30" s="1823">
        <f>+$I14*AW28/100+AW29</f>
        <v>0.13525705943308236</v>
      </c>
      <c r="AX30" s="36"/>
      <c r="AY30" s="36"/>
      <c r="AZ30" s="38"/>
      <c r="BA30" s="1823">
        <f>+$I14*BA28/100+BA29</f>
        <v>0.12642979569666424</v>
      </c>
      <c r="BB30" s="36"/>
      <c r="BC30" s="36"/>
      <c r="BD30" s="38"/>
      <c r="BE30" s="1823">
        <f>+$I14*BE28/100+BE29</f>
        <v>0.12642979569666424</v>
      </c>
      <c r="BF30" s="36"/>
      <c r="BG30" s="36"/>
      <c r="BH30" s="38"/>
      <c r="BI30" s="1823">
        <f>+$I14*BI28/100+BI29</f>
        <v>0.12642979569666424</v>
      </c>
      <c r="BJ30" s="36"/>
      <c r="BK30" s="36"/>
      <c r="BL30" s="38"/>
      <c r="BM30" s="1823">
        <f>+$I14*BM28/100+BM29</f>
        <v>0.12642979569666424</v>
      </c>
      <c r="BN30" s="36"/>
      <c r="BO30" s="36"/>
      <c r="BP30" s="36"/>
      <c r="BQ30" s="1823">
        <f>+$I14*BQ28/100+BQ29</f>
        <v>0.12642979569666424</v>
      </c>
      <c r="BR30" s="36"/>
      <c r="BS30" s="36"/>
      <c r="BT30" s="38"/>
      <c r="BU30" s="36"/>
      <c r="BV30" s="37"/>
      <c r="BW30" s="38"/>
    </row>
    <row r="31" spans="1:98" ht="26">
      <c r="A31">
        <v>18</v>
      </c>
      <c r="B31" s="46" t="s">
        <v>48</v>
      </c>
      <c r="C31" s="29" t="s">
        <v>49</v>
      </c>
      <c r="D31" s="30"/>
      <c r="E31" s="47">
        <v>33558380</v>
      </c>
      <c r="F31" s="48"/>
      <c r="G31" s="48"/>
      <c r="H31" s="42"/>
      <c r="I31" s="49">
        <f>36700000</f>
        <v>36700000</v>
      </c>
      <c r="J31" s="50"/>
      <c r="K31" s="50"/>
      <c r="L31" s="51"/>
      <c r="M31" s="49">
        <f>20000000</f>
        <v>20000000</v>
      </c>
      <c r="N31" s="50"/>
      <c r="O31" s="50"/>
      <c r="P31" s="51"/>
      <c r="Q31" s="49">
        <f>2000000</f>
        <v>2000000</v>
      </c>
      <c r="R31" s="50"/>
      <c r="S31" s="50"/>
      <c r="T31" s="51"/>
      <c r="U31" s="49">
        <f>2000000</f>
        <v>2000000</v>
      </c>
      <c r="V31" s="50"/>
      <c r="W31" s="50"/>
      <c r="X31" s="51"/>
      <c r="Y31" s="49">
        <f>2000000</f>
        <v>2000000</v>
      </c>
      <c r="Z31" s="50"/>
      <c r="AA31" s="50"/>
      <c r="AB31" s="51"/>
      <c r="AC31" s="49">
        <f>2000000</f>
        <v>2000000</v>
      </c>
      <c r="AD31" s="50"/>
      <c r="AE31" s="50"/>
      <c r="AF31" s="51"/>
      <c r="AG31" s="49">
        <v>15875382</v>
      </c>
      <c r="AH31" s="50"/>
      <c r="AI31" s="50"/>
      <c r="AJ31" s="51"/>
      <c r="AK31" s="49">
        <v>29544357</v>
      </c>
      <c r="AL31" s="50"/>
      <c r="AM31" s="50"/>
      <c r="AN31" s="51"/>
      <c r="AO31" s="49">
        <v>58581170</v>
      </c>
      <c r="AP31" s="50"/>
      <c r="AQ31" s="50"/>
      <c r="AR31" s="51"/>
      <c r="AS31" s="49">
        <v>5226954</v>
      </c>
      <c r="AT31" s="50"/>
      <c r="AU31" s="50"/>
      <c r="AV31" s="51"/>
      <c r="AW31" s="49">
        <v>19021804</v>
      </c>
      <c r="AX31" s="50"/>
      <c r="AY31" s="50"/>
      <c r="AZ31" s="51"/>
      <c r="BA31" s="49">
        <v>51852352.189999998</v>
      </c>
      <c r="BB31" s="50"/>
      <c r="BC31" s="50"/>
      <c r="BD31" s="51"/>
      <c r="BE31" s="49">
        <v>8623505</v>
      </c>
      <c r="BF31" s="50"/>
      <c r="BG31" s="50"/>
      <c r="BH31" s="51"/>
      <c r="BI31" s="49">
        <v>9000000</v>
      </c>
      <c r="BJ31" s="50"/>
      <c r="BK31" s="50"/>
      <c r="BL31" s="51"/>
      <c r="BM31" s="49">
        <v>39000000</v>
      </c>
      <c r="BN31" s="50"/>
      <c r="BO31" s="50"/>
      <c r="BP31" s="50"/>
      <c r="BQ31" s="49">
        <v>9200000</v>
      </c>
      <c r="BR31" s="50"/>
      <c r="BS31" s="50"/>
      <c r="BT31" s="51"/>
      <c r="BU31" s="36"/>
      <c r="BV31" s="37"/>
      <c r="BW31" s="38"/>
    </row>
    <row r="32" spans="1:98" ht="27.75" customHeight="1">
      <c r="A32">
        <v>19</v>
      </c>
      <c r="B32" s="52" t="s">
        <v>50</v>
      </c>
      <c r="C32" s="1986" t="s">
        <v>51</v>
      </c>
      <c r="D32" s="1987"/>
      <c r="E32" s="53">
        <f>IF(E31=0,0,E31/E26)</f>
        <v>958810.85714285716</v>
      </c>
      <c r="F32" s="48"/>
      <c r="G32" s="48"/>
      <c r="H32" s="42"/>
      <c r="I32" s="54">
        <f>IF(I31=0,0,I31/I26)</f>
        <v>1048571.4285714285</v>
      </c>
      <c r="J32" s="50"/>
      <c r="K32" s="50"/>
      <c r="L32" s="51"/>
      <c r="M32" s="54">
        <f>IF(M31=0,0,M31/M26)</f>
        <v>571428.57142857148</v>
      </c>
      <c r="N32" s="50"/>
      <c r="O32" s="50"/>
      <c r="P32" s="51"/>
      <c r="Q32" s="54">
        <f>IF(Q31=0,0,Q31/Q26)</f>
        <v>57142.857142857145</v>
      </c>
      <c r="R32" s="50"/>
      <c r="S32" s="50"/>
      <c r="T32" s="51"/>
      <c r="U32" s="54">
        <f>IF(U31=0,0,U31/U26)</f>
        <v>57142.857142857145</v>
      </c>
      <c r="V32" s="50"/>
      <c r="W32" s="50"/>
      <c r="X32" s="51"/>
      <c r="Y32" s="54">
        <f>IF(Y31=0,0,Y31/Y26)</f>
        <v>57142.857142857145</v>
      </c>
      <c r="Z32" s="50"/>
      <c r="AA32" s="50"/>
      <c r="AB32" s="51"/>
      <c r="AC32" s="54">
        <f>IF(AC31=0,0,AC31/AC26)</f>
        <v>57142.857142857145</v>
      </c>
      <c r="AD32" s="50"/>
      <c r="AE32" s="50"/>
      <c r="AF32" s="51"/>
      <c r="AG32" s="54">
        <f>IF(AG31=0,0,AG31/AG26)</f>
        <v>453582.34285714285</v>
      </c>
      <c r="AH32" s="50"/>
      <c r="AI32" s="50"/>
      <c r="AJ32" s="51"/>
      <c r="AK32" s="54">
        <f>IF(AK31=0,0,AK31/AK26)</f>
        <v>844124.48571428575</v>
      </c>
      <c r="AL32" s="50"/>
      <c r="AM32" s="50"/>
      <c r="AN32" s="51"/>
      <c r="AO32" s="54">
        <f>IF(AO31=0,0,AO31/AO26)</f>
        <v>1673747.7142857143</v>
      </c>
      <c r="AP32" s="50"/>
      <c r="AQ32" s="50"/>
      <c r="AR32" s="51"/>
      <c r="AS32" s="54">
        <f>IF(AS31=0,0,AS31/AS26)</f>
        <v>149341.54285714286</v>
      </c>
      <c r="AT32" s="50"/>
      <c r="AU32" s="50"/>
      <c r="AV32" s="51"/>
      <c r="AW32" s="54">
        <f>IF(AW31=0,0,AW31/AW26)</f>
        <v>543480.11428571434</v>
      </c>
      <c r="AX32" s="50"/>
      <c r="AY32" s="50"/>
      <c r="AZ32" s="51"/>
      <c r="BA32" s="54">
        <f>IF(BA31=0,0,BA31/BA26)</f>
        <v>1481495.7768571428</v>
      </c>
      <c r="BB32" s="50"/>
      <c r="BC32" s="50"/>
      <c r="BD32" s="51"/>
      <c r="BE32" s="54">
        <f>IF(BE31=0,0,BE31/BE26)</f>
        <v>246385.85714285713</v>
      </c>
      <c r="BF32" s="50"/>
      <c r="BG32" s="50"/>
      <c r="BH32" s="51"/>
      <c r="BI32" s="54">
        <f>IF(BI31=0,0,BI31/BI26)</f>
        <v>257142.85714285713</v>
      </c>
      <c r="BJ32" s="50"/>
      <c r="BK32" s="50"/>
      <c r="BL32" s="51"/>
      <c r="BM32" s="54">
        <f>IF(BM31=0,0,BM31/BM26)</f>
        <v>1114285.7142857143</v>
      </c>
      <c r="BN32" s="50"/>
      <c r="BO32" s="50"/>
      <c r="BP32" s="50"/>
      <c r="BQ32" s="54">
        <f>IF(BQ31=0,0,BQ31/BQ26)</f>
        <v>262857.14285714284</v>
      </c>
      <c r="BR32" s="50"/>
      <c r="BS32" s="50"/>
      <c r="BT32" s="51"/>
      <c r="BU32" s="36"/>
      <c r="BV32" s="37"/>
      <c r="BW32" s="38"/>
    </row>
    <row r="33" spans="1:82" s="5" customFormat="1" ht="27" customHeight="1">
      <c r="A33" s="5">
        <v>20</v>
      </c>
      <c r="B33" s="43" t="s">
        <v>52</v>
      </c>
      <c r="C33" s="1988" t="s">
        <v>53</v>
      </c>
      <c r="D33" s="1989"/>
      <c r="E33" s="55">
        <v>6.5</v>
      </c>
      <c r="F33" s="56"/>
      <c r="G33" s="56"/>
      <c r="H33" s="57"/>
      <c r="I33" s="58">
        <v>8</v>
      </c>
      <c r="J33" s="59"/>
      <c r="K33" s="59"/>
      <c r="L33" s="60"/>
      <c r="M33" s="58">
        <v>8</v>
      </c>
      <c r="N33" s="59"/>
      <c r="O33" s="59"/>
      <c r="P33" s="60"/>
      <c r="Q33" s="58">
        <v>8</v>
      </c>
      <c r="R33" s="59"/>
      <c r="S33" s="59"/>
      <c r="T33" s="60"/>
      <c r="U33" s="58">
        <v>8</v>
      </c>
      <c r="V33" s="59"/>
      <c r="W33" s="59"/>
      <c r="X33" s="60"/>
      <c r="Y33" s="58">
        <v>8</v>
      </c>
      <c r="Z33" s="59"/>
      <c r="AA33" s="59"/>
      <c r="AB33" s="60"/>
      <c r="AC33" s="58">
        <v>12</v>
      </c>
      <c r="AD33" s="59"/>
      <c r="AE33" s="59"/>
      <c r="AF33" s="60"/>
      <c r="AG33" s="58">
        <v>6</v>
      </c>
      <c r="AH33" s="59"/>
      <c r="AI33" s="59"/>
      <c r="AJ33" s="60"/>
      <c r="AK33" s="58">
        <v>6</v>
      </c>
      <c r="AL33" s="59"/>
      <c r="AM33" s="59"/>
      <c r="AN33" s="60"/>
      <c r="AO33" s="58">
        <v>6</v>
      </c>
      <c r="AP33" s="59"/>
      <c r="AQ33" s="59"/>
      <c r="AR33" s="60"/>
      <c r="AS33" s="58">
        <v>6</v>
      </c>
      <c r="AT33" s="59"/>
      <c r="AU33" s="59"/>
      <c r="AV33" s="60"/>
      <c r="AW33" s="58">
        <v>2</v>
      </c>
      <c r="AX33" s="59"/>
      <c r="AY33" s="59"/>
      <c r="AZ33" s="60"/>
      <c r="BA33" s="58">
        <v>10</v>
      </c>
      <c r="BB33" s="59"/>
      <c r="BC33" s="59"/>
      <c r="BD33" s="60"/>
      <c r="BE33" s="58">
        <v>2</v>
      </c>
      <c r="BF33" s="59"/>
      <c r="BG33" s="59"/>
      <c r="BH33" s="60"/>
      <c r="BI33" s="58">
        <v>6</v>
      </c>
      <c r="BJ33" s="59"/>
      <c r="BK33" s="59"/>
      <c r="BL33" s="60"/>
      <c r="BM33" s="58">
        <v>6</v>
      </c>
      <c r="BN33" s="59"/>
      <c r="BO33" s="59"/>
      <c r="BP33" s="59"/>
      <c r="BQ33" s="58">
        <v>6</v>
      </c>
      <c r="BR33" s="59"/>
      <c r="BS33" s="59"/>
      <c r="BT33" s="60"/>
      <c r="BU33" s="61"/>
      <c r="BV33" s="29"/>
      <c r="BW33" s="62"/>
    </row>
    <row r="34" spans="1:82" ht="15" thickBot="1">
      <c r="C34" s="63"/>
      <c r="D34" s="64"/>
      <c r="E34" s="65"/>
      <c r="F34" s="66"/>
      <c r="G34" s="66"/>
      <c r="H34" s="67"/>
      <c r="I34" s="68"/>
      <c r="J34" s="69"/>
      <c r="K34" s="69"/>
      <c r="L34" s="70"/>
      <c r="M34" s="68"/>
      <c r="N34" s="69"/>
      <c r="O34" s="69"/>
      <c r="P34" s="70"/>
      <c r="Q34" s="68"/>
      <c r="R34" s="69"/>
      <c r="S34" s="69"/>
      <c r="T34" s="70"/>
      <c r="U34" s="68"/>
      <c r="V34" s="69"/>
      <c r="W34" s="69"/>
      <c r="X34" s="70"/>
      <c r="Y34" s="68"/>
      <c r="Z34" s="69"/>
      <c r="AA34" s="69"/>
      <c r="AB34" s="70"/>
      <c r="AC34" s="68"/>
      <c r="AD34" s="69"/>
      <c r="AE34" s="69"/>
      <c r="AF34" s="70"/>
      <c r="AG34" s="68"/>
      <c r="AH34" s="69"/>
      <c r="AI34" s="69"/>
      <c r="AJ34" s="70"/>
      <c r="AK34" s="68"/>
      <c r="AL34" s="69"/>
      <c r="AM34" s="69"/>
      <c r="AN34" s="70"/>
      <c r="AO34" s="68"/>
      <c r="AP34" s="69"/>
      <c r="AQ34" s="69"/>
      <c r="AR34" s="70"/>
      <c r="AS34" s="68"/>
      <c r="AT34" s="69"/>
      <c r="AU34" s="69"/>
      <c r="AV34" s="70"/>
      <c r="AW34" s="68"/>
      <c r="AX34" s="69"/>
      <c r="AY34" s="69"/>
      <c r="AZ34" s="70"/>
      <c r="BA34" s="68"/>
      <c r="BB34" s="69"/>
      <c r="BC34" s="69"/>
      <c r="BD34" s="70"/>
      <c r="BE34" s="68"/>
      <c r="BF34" s="69"/>
      <c r="BG34" s="69"/>
      <c r="BH34" s="70"/>
      <c r="BI34" s="68"/>
      <c r="BJ34" s="69"/>
      <c r="BK34" s="69"/>
      <c r="BL34" s="70"/>
      <c r="BM34" s="69"/>
      <c r="BN34" s="69"/>
      <c r="BO34" s="69"/>
      <c r="BP34" s="69"/>
      <c r="BQ34" s="68"/>
      <c r="BR34" s="69"/>
      <c r="BS34" s="69"/>
      <c r="BT34" s="70"/>
      <c r="BU34" s="71"/>
      <c r="BV34" s="63"/>
      <c r="BW34" s="72"/>
    </row>
    <row r="35" spans="1:82">
      <c r="C35" s="26"/>
      <c r="D35" s="73" t="s">
        <v>54</v>
      </c>
      <c r="E35" s="877" t="s">
        <v>55</v>
      </c>
      <c r="F35" s="877" t="s">
        <v>56</v>
      </c>
      <c r="G35" s="877" t="s">
        <v>57</v>
      </c>
      <c r="H35" s="878" t="s">
        <v>58</v>
      </c>
      <c r="I35" s="876" t="s">
        <v>55</v>
      </c>
      <c r="J35" s="877" t="s">
        <v>56</v>
      </c>
      <c r="K35" s="877" t="s">
        <v>57</v>
      </c>
      <c r="L35" s="878" t="s">
        <v>58</v>
      </c>
      <c r="M35" s="876" t="s">
        <v>55</v>
      </c>
      <c r="N35" s="877" t="s">
        <v>56</v>
      </c>
      <c r="O35" s="877" t="s">
        <v>57</v>
      </c>
      <c r="P35" s="878" t="s">
        <v>58</v>
      </c>
      <c r="Q35" s="876" t="s">
        <v>55</v>
      </c>
      <c r="R35" s="877" t="s">
        <v>56</v>
      </c>
      <c r="S35" s="877" t="s">
        <v>57</v>
      </c>
      <c r="T35" s="878" t="s">
        <v>58</v>
      </c>
      <c r="U35" s="876" t="s">
        <v>55</v>
      </c>
      <c r="V35" s="877" t="s">
        <v>56</v>
      </c>
      <c r="W35" s="877" t="s">
        <v>57</v>
      </c>
      <c r="X35" s="878" t="s">
        <v>58</v>
      </c>
      <c r="Y35" s="876" t="s">
        <v>55</v>
      </c>
      <c r="Z35" s="877" t="s">
        <v>56</v>
      </c>
      <c r="AA35" s="877" t="s">
        <v>57</v>
      </c>
      <c r="AB35" s="878" t="s">
        <v>58</v>
      </c>
      <c r="AC35" s="876" t="s">
        <v>55</v>
      </c>
      <c r="AD35" s="877" t="s">
        <v>56</v>
      </c>
      <c r="AE35" s="877" t="s">
        <v>57</v>
      </c>
      <c r="AF35" s="878" t="s">
        <v>58</v>
      </c>
      <c r="AG35" s="876" t="s">
        <v>55</v>
      </c>
      <c r="AH35" s="877" t="s">
        <v>56</v>
      </c>
      <c r="AI35" s="877" t="s">
        <v>57</v>
      </c>
      <c r="AJ35" s="878" t="s">
        <v>58</v>
      </c>
      <c r="AK35" s="876" t="s">
        <v>55</v>
      </c>
      <c r="AL35" s="877" t="s">
        <v>56</v>
      </c>
      <c r="AM35" s="877" t="s">
        <v>57</v>
      </c>
      <c r="AN35" s="878" t="s">
        <v>58</v>
      </c>
      <c r="AO35" s="876" t="s">
        <v>55</v>
      </c>
      <c r="AP35" s="877" t="s">
        <v>56</v>
      </c>
      <c r="AQ35" s="877" t="s">
        <v>57</v>
      </c>
      <c r="AR35" s="878" t="s">
        <v>58</v>
      </c>
      <c r="AS35" s="876" t="s">
        <v>55</v>
      </c>
      <c r="AT35" s="877" t="s">
        <v>56</v>
      </c>
      <c r="AU35" s="877" t="s">
        <v>57</v>
      </c>
      <c r="AV35" s="878" t="s">
        <v>58</v>
      </c>
      <c r="AW35" s="876" t="s">
        <v>55</v>
      </c>
      <c r="AX35" s="877" t="s">
        <v>56</v>
      </c>
      <c r="AY35" s="877" t="s">
        <v>57</v>
      </c>
      <c r="AZ35" s="878" t="s">
        <v>58</v>
      </c>
      <c r="BA35" s="876" t="s">
        <v>55</v>
      </c>
      <c r="BB35" s="877" t="s">
        <v>56</v>
      </c>
      <c r="BC35" s="877" t="s">
        <v>57</v>
      </c>
      <c r="BD35" s="878" t="s">
        <v>58</v>
      </c>
      <c r="BE35" s="876" t="s">
        <v>55</v>
      </c>
      <c r="BF35" s="877" t="s">
        <v>56</v>
      </c>
      <c r="BG35" s="877" t="s">
        <v>57</v>
      </c>
      <c r="BH35" s="878" t="s">
        <v>58</v>
      </c>
      <c r="BI35" s="1057"/>
      <c r="BJ35" s="1058"/>
      <c r="BK35" s="1058"/>
      <c r="BL35" s="1059"/>
      <c r="BM35" s="1058"/>
      <c r="BN35" s="1058"/>
      <c r="BO35" s="1058"/>
      <c r="BP35" s="1058"/>
      <c r="BQ35" s="1057" t="s">
        <v>55</v>
      </c>
      <c r="BR35" s="1058" t="s">
        <v>56</v>
      </c>
      <c r="BS35" s="1058" t="s">
        <v>57</v>
      </c>
      <c r="BT35" s="1059" t="s">
        <v>58</v>
      </c>
      <c r="BU35" s="74" t="s">
        <v>59</v>
      </c>
      <c r="BV35" s="75" t="s">
        <v>60</v>
      </c>
      <c r="BW35" s="76" t="s">
        <v>61</v>
      </c>
    </row>
    <row r="36" spans="1:82" ht="12.75" hidden="1" customHeight="1">
      <c r="A36">
        <v>21</v>
      </c>
      <c r="C36" s="37" t="str">
        <f>+C29</f>
        <v>Base FCR</v>
      </c>
      <c r="D36" s="77">
        <v>2008</v>
      </c>
      <c r="E36" s="78"/>
      <c r="F36" s="48"/>
      <c r="G36" s="78">
        <v>0</v>
      </c>
      <c r="H36" s="42">
        <v>0</v>
      </c>
      <c r="I36" s="78"/>
      <c r="J36" s="50"/>
      <c r="K36" s="78">
        <v>0</v>
      </c>
      <c r="L36" s="51">
        <v>0</v>
      </c>
      <c r="M36" s="78"/>
      <c r="N36" s="50"/>
      <c r="O36" s="78">
        <v>0</v>
      </c>
      <c r="P36" s="51">
        <v>0</v>
      </c>
      <c r="Q36" s="78"/>
      <c r="R36" s="50"/>
      <c r="S36" s="78">
        <v>0</v>
      </c>
      <c r="T36" s="51">
        <v>0</v>
      </c>
      <c r="U36" s="78"/>
      <c r="V36" s="50"/>
      <c r="W36" s="78">
        <v>0</v>
      </c>
      <c r="X36" s="51">
        <v>0</v>
      </c>
      <c r="Y36" s="78"/>
      <c r="Z36" s="50"/>
      <c r="AA36" s="78">
        <v>0</v>
      </c>
      <c r="AB36" s="51">
        <v>0</v>
      </c>
      <c r="AC36" s="78"/>
      <c r="AD36" s="50"/>
      <c r="AE36" s="78">
        <v>0</v>
      </c>
      <c r="AF36" s="51">
        <v>0</v>
      </c>
      <c r="AG36" s="78"/>
      <c r="AH36" s="50"/>
      <c r="AI36" s="78">
        <v>0</v>
      </c>
      <c r="AJ36" s="51">
        <v>0</v>
      </c>
      <c r="AK36" s="78"/>
      <c r="AL36" s="50"/>
      <c r="AM36" s="78">
        <v>0</v>
      </c>
      <c r="AN36" s="51">
        <v>0</v>
      </c>
      <c r="AO36" s="78"/>
      <c r="AP36" s="50"/>
      <c r="AQ36" s="78">
        <v>0</v>
      </c>
      <c r="AR36" s="51">
        <v>0</v>
      </c>
      <c r="AS36" s="78"/>
      <c r="AT36" s="50"/>
      <c r="AU36" s="78">
        <v>0</v>
      </c>
      <c r="AV36" s="51">
        <v>0</v>
      </c>
      <c r="AW36" s="78"/>
      <c r="AX36" s="50"/>
      <c r="AY36" s="78">
        <v>0</v>
      </c>
      <c r="AZ36" s="51">
        <v>0</v>
      </c>
      <c r="BA36" s="78"/>
      <c r="BB36" s="50"/>
      <c r="BC36" s="78">
        <v>0</v>
      </c>
      <c r="BD36" s="51">
        <v>0</v>
      </c>
      <c r="BE36" s="78"/>
      <c r="BF36" s="50"/>
      <c r="BG36" s="78">
        <v>0</v>
      </c>
      <c r="BH36" s="51">
        <v>0</v>
      </c>
      <c r="BI36" s="54"/>
      <c r="BJ36" s="50"/>
      <c r="BK36" s="50"/>
      <c r="BL36" s="51"/>
      <c r="BM36" s="50"/>
      <c r="BN36" s="50"/>
      <c r="BO36" s="50"/>
      <c r="BP36" s="51"/>
      <c r="BQ36" s="78"/>
      <c r="BR36" s="50"/>
      <c r="BS36" s="78">
        <v>0</v>
      </c>
      <c r="BT36" s="51">
        <v>0</v>
      </c>
      <c r="BU36" s="79">
        <v>0</v>
      </c>
      <c r="BV36" s="36"/>
      <c r="BW36" s="80">
        <v>0</v>
      </c>
      <c r="BY36" s="81"/>
      <c r="BZ36" s="81"/>
      <c r="CA36" s="81"/>
    </row>
    <row r="37" spans="1:82" ht="12.75" hidden="1" customHeight="1">
      <c r="A37">
        <v>22</v>
      </c>
      <c r="C37" s="37" t="s">
        <v>62</v>
      </c>
      <c r="D37" s="77">
        <v>2008</v>
      </c>
      <c r="E37" s="78">
        <v>0</v>
      </c>
      <c r="F37" s="48">
        <v>0</v>
      </c>
      <c r="G37" s="78">
        <v>0</v>
      </c>
      <c r="H37" s="42">
        <v>0</v>
      </c>
      <c r="I37" s="78"/>
      <c r="J37" s="50"/>
      <c r="K37" s="78">
        <v>0</v>
      </c>
      <c r="L37" s="51">
        <v>0</v>
      </c>
      <c r="M37" s="78"/>
      <c r="N37" s="50"/>
      <c r="O37" s="78">
        <v>0</v>
      </c>
      <c r="P37" s="51">
        <v>0</v>
      </c>
      <c r="Q37" s="78"/>
      <c r="R37" s="50"/>
      <c r="S37" s="78">
        <v>0</v>
      </c>
      <c r="T37" s="51">
        <v>0</v>
      </c>
      <c r="U37" s="78"/>
      <c r="V37" s="50"/>
      <c r="W37" s="78">
        <v>0</v>
      </c>
      <c r="X37" s="51">
        <v>0</v>
      </c>
      <c r="Y37" s="78"/>
      <c r="Z37" s="50"/>
      <c r="AA37" s="78">
        <v>0</v>
      </c>
      <c r="AB37" s="51">
        <v>0</v>
      </c>
      <c r="AC37" s="78"/>
      <c r="AD37" s="50"/>
      <c r="AE37" s="78">
        <v>0</v>
      </c>
      <c r="AF37" s="51">
        <v>0</v>
      </c>
      <c r="AG37" s="78"/>
      <c r="AH37" s="50"/>
      <c r="AI37" s="78">
        <v>0</v>
      </c>
      <c r="AJ37" s="51">
        <v>0</v>
      </c>
      <c r="AK37" s="78"/>
      <c r="AL37" s="50"/>
      <c r="AM37" s="78">
        <v>0</v>
      </c>
      <c r="AN37" s="51">
        <v>0</v>
      </c>
      <c r="AO37" s="78"/>
      <c r="AP37" s="50"/>
      <c r="AQ37" s="78">
        <v>0</v>
      </c>
      <c r="AR37" s="51">
        <v>0</v>
      </c>
      <c r="AS37" s="78"/>
      <c r="AT37" s="50"/>
      <c r="AU37" s="78">
        <v>0</v>
      </c>
      <c r="AV37" s="51">
        <v>0</v>
      </c>
      <c r="AW37" s="78"/>
      <c r="AX37" s="50"/>
      <c r="AY37" s="78">
        <v>0</v>
      </c>
      <c r="AZ37" s="51">
        <v>0</v>
      </c>
      <c r="BA37" s="78"/>
      <c r="BB37" s="50"/>
      <c r="BC37" s="78">
        <v>0</v>
      </c>
      <c r="BD37" s="51">
        <v>0</v>
      </c>
      <c r="BE37" s="78"/>
      <c r="BF37" s="50"/>
      <c r="BG37" s="78">
        <v>0</v>
      </c>
      <c r="BH37" s="51">
        <v>0</v>
      </c>
      <c r="BI37" s="54"/>
      <c r="BJ37" s="50"/>
      <c r="BK37" s="50"/>
      <c r="BL37" s="51"/>
      <c r="BM37" s="50"/>
      <c r="BN37" s="50"/>
      <c r="BO37" s="50"/>
      <c r="BP37" s="51"/>
      <c r="BQ37" s="78"/>
      <c r="BR37" s="50"/>
      <c r="BS37" s="78">
        <v>0</v>
      </c>
      <c r="BT37" s="51">
        <v>0</v>
      </c>
      <c r="BU37" s="79">
        <v>0</v>
      </c>
      <c r="BV37" s="82">
        <v>0</v>
      </c>
      <c r="BW37" s="38"/>
      <c r="BX37" s="81"/>
      <c r="BZ37" s="83"/>
      <c r="CB37" s="83"/>
      <c r="CC37" s="84"/>
      <c r="CD37" s="84"/>
    </row>
    <row r="38" spans="1:82" ht="12.75" hidden="1" customHeight="1">
      <c r="A38">
        <v>23</v>
      </c>
      <c r="C38" s="37" t="str">
        <f t="shared" ref="C38:C75" si="0">+C36</f>
        <v>Base FCR</v>
      </c>
      <c r="D38" s="77">
        <f t="shared" ref="D38:D75" si="1">+D36+1</f>
        <v>2009</v>
      </c>
      <c r="E38" s="78">
        <v>33558380</v>
      </c>
      <c r="F38" s="48">
        <v>439454.97619047621</v>
      </c>
      <c r="G38" s="78">
        <v>33118925.023809522</v>
      </c>
      <c r="H38" s="42">
        <v>6938098.7052332927</v>
      </c>
      <c r="K38" s="78"/>
      <c r="L38" s="51"/>
      <c r="M38" s="78"/>
      <c r="N38" s="78"/>
      <c r="O38" s="78"/>
      <c r="P38" s="51"/>
      <c r="Q38" s="78"/>
      <c r="R38" s="78"/>
      <c r="S38" s="78"/>
      <c r="T38" s="51"/>
      <c r="U38" s="78"/>
      <c r="V38" s="78"/>
      <c r="W38" s="78"/>
      <c r="X38" s="51"/>
      <c r="Y38" s="78"/>
      <c r="Z38" s="78"/>
      <c r="AA38" s="78"/>
      <c r="AB38" s="51"/>
      <c r="AC38" s="78"/>
      <c r="AD38" s="78"/>
      <c r="AE38" s="78"/>
      <c r="AF38" s="51"/>
      <c r="AG38" s="78"/>
      <c r="AH38" s="78"/>
      <c r="AI38" s="78"/>
      <c r="AJ38" s="51"/>
      <c r="AK38" s="78"/>
      <c r="AL38" s="78"/>
      <c r="AM38" s="78"/>
      <c r="AN38" s="51"/>
      <c r="AO38" s="78"/>
      <c r="AP38" s="78"/>
      <c r="AQ38" s="78"/>
      <c r="AR38" s="51"/>
      <c r="AS38" s="78"/>
      <c r="AT38" s="78"/>
      <c r="AU38" s="78"/>
      <c r="AV38" s="51"/>
      <c r="AW38" s="78"/>
      <c r="AX38" s="78"/>
      <c r="AY38" s="78"/>
      <c r="AZ38" s="51"/>
      <c r="BA38" s="78"/>
      <c r="BB38" s="78"/>
      <c r="BC38" s="78"/>
      <c r="BD38" s="51"/>
      <c r="BE38" s="78"/>
      <c r="BF38" s="78"/>
      <c r="BG38" s="78"/>
      <c r="BH38" s="51"/>
      <c r="BI38" s="54"/>
      <c r="BJ38" s="50"/>
      <c r="BK38" s="50"/>
      <c r="BL38" s="51"/>
      <c r="BM38" s="50"/>
      <c r="BN38" s="50"/>
      <c r="BO38" s="50"/>
      <c r="BP38" s="51"/>
      <c r="BQ38" s="78"/>
      <c r="BR38" s="78"/>
      <c r="BS38" s="78"/>
      <c r="BT38" s="51"/>
      <c r="BU38" s="79">
        <v>6938098.7052332927</v>
      </c>
      <c r="BV38" s="36"/>
      <c r="BW38" s="80">
        <v>6938098.7052332927</v>
      </c>
      <c r="BY38" s="81"/>
      <c r="BZ38" s="83"/>
      <c r="CA38" s="81"/>
      <c r="CB38" s="83"/>
      <c r="CD38" s="81"/>
    </row>
    <row r="39" spans="1:82" ht="12.75" hidden="1" customHeight="1">
      <c r="A39">
        <v>24</v>
      </c>
      <c r="C39" s="37" t="str">
        <f t="shared" si="0"/>
        <v>W Increased ROE</v>
      </c>
      <c r="D39" s="77">
        <f t="shared" si="1"/>
        <v>2009</v>
      </c>
      <c r="E39" s="78">
        <v>33558380</v>
      </c>
      <c r="F39" s="48">
        <v>439454.97619047621</v>
      </c>
      <c r="G39" s="78">
        <v>33118925.023809522</v>
      </c>
      <c r="H39" s="42">
        <v>7293853.8785049953</v>
      </c>
      <c r="I39" s="78"/>
      <c r="J39" s="50"/>
      <c r="K39" s="78"/>
      <c r="L39" s="51"/>
      <c r="M39" s="78"/>
      <c r="N39" s="50"/>
      <c r="O39" s="78"/>
      <c r="P39" s="51"/>
      <c r="Q39" s="78"/>
      <c r="R39" s="50"/>
      <c r="S39" s="78"/>
      <c r="T39" s="51"/>
      <c r="U39" s="78"/>
      <c r="V39" s="50"/>
      <c r="W39" s="78"/>
      <c r="X39" s="51"/>
      <c r="Y39" s="78"/>
      <c r="Z39" s="50"/>
      <c r="AA39" s="78"/>
      <c r="AB39" s="51"/>
      <c r="AC39" s="78"/>
      <c r="AD39" s="50"/>
      <c r="AE39" s="78"/>
      <c r="AF39" s="51"/>
      <c r="AG39" s="78"/>
      <c r="AH39" s="50"/>
      <c r="AI39" s="78"/>
      <c r="AJ39" s="51"/>
      <c r="AK39" s="78"/>
      <c r="AL39" s="50"/>
      <c r="AM39" s="78"/>
      <c r="AN39" s="51"/>
      <c r="AO39" s="78"/>
      <c r="AP39" s="50"/>
      <c r="AQ39" s="78"/>
      <c r="AR39" s="51"/>
      <c r="AS39" s="78"/>
      <c r="AT39" s="50"/>
      <c r="AU39" s="78"/>
      <c r="AV39" s="51"/>
      <c r="AW39" s="78"/>
      <c r="AX39" s="50"/>
      <c r="AY39" s="78"/>
      <c r="AZ39" s="51"/>
      <c r="BA39" s="78"/>
      <c r="BB39" s="50"/>
      <c r="BC39" s="78"/>
      <c r="BD39" s="51"/>
      <c r="BE39" s="78"/>
      <c r="BF39" s="50"/>
      <c r="BG39" s="78"/>
      <c r="BH39" s="51"/>
      <c r="BI39" s="54"/>
      <c r="BJ39" s="50"/>
      <c r="BK39" s="50"/>
      <c r="BL39" s="51"/>
      <c r="BM39" s="50"/>
      <c r="BN39" s="50"/>
      <c r="BO39" s="50"/>
      <c r="BP39" s="51"/>
      <c r="BQ39" s="78"/>
      <c r="BR39" s="50"/>
      <c r="BS39" s="78"/>
      <c r="BT39" s="51"/>
      <c r="BU39" s="79">
        <v>7293853.8785049953</v>
      </c>
      <c r="BV39" s="82">
        <v>7293853.8785049953</v>
      </c>
      <c r="BW39" s="38"/>
      <c r="BX39" s="81"/>
      <c r="BZ39" s="83"/>
      <c r="CB39" s="83"/>
      <c r="CC39" s="84"/>
      <c r="CD39" s="84"/>
    </row>
    <row r="40" spans="1:82" ht="12.75" hidden="1" customHeight="1">
      <c r="A40">
        <v>25</v>
      </c>
      <c r="C40" s="37" t="str">
        <f t="shared" si="0"/>
        <v>Base FCR</v>
      </c>
      <c r="D40" s="77">
        <f t="shared" si="1"/>
        <v>2010</v>
      </c>
      <c r="E40" s="78">
        <v>33118925.023809522</v>
      </c>
      <c r="F40" s="78">
        <v>958810.85714285716</v>
      </c>
      <c r="G40" s="78">
        <v>32160114.166666664</v>
      </c>
      <c r="H40" s="42">
        <v>7269315.3226186931</v>
      </c>
      <c r="I40" s="85"/>
      <c r="J40" s="50"/>
      <c r="K40" s="78"/>
      <c r="L40" s="51"/>
      <c r="M40" s="85"/>
      <c r="N40" s="50"/>
      <c r="O40" s="78"/>
      <c r="P40" s="51"/>
      <c r="Q40" s="85"/>
      <c r="R40" s="50"/>
      <c r="S40" s="78"/>
      <c r="T40" s="51"/>
      <c r="U40" s="85"/>
      <c r="V40" s="50"/>
      <c r="W40" s="78"/>
      <c r="X40" s="51"/>
      <c r="Y40" s="85"/>
      <c r="Z40" s="50"/>
      <c r="AA40" s="78"/>
      <c r="AB40" s="51"/>
      <c r="AC40" s="85"/>
      <c r="AD40" s="50"/>
      <c r="AE40" s="78"/>
      <c r="AF40" s="51"/>
      <c r="AG40" s="85"/>
      <c r="AH40" s="50"/>
      <c r="AI40" s="78"/>
      <c r="AJ40" s="51"/>
      <c r="AK40" s="85"/>
      <c r="AL40" s="50"/>
      <c r="AM40" s="78"/>
      <c r="AN40" s="51"/>
      <c r="AO40" s="85"/>
      <c r="AP40" s="50"/>
      <c r="AQ40" s="78"/>
      <c r="AR40" s="51"/>
      <c r="AS40" s="85"/>
      <c r="AT40" s="50"/>
      <c r="AU40" s="78"/>
      <c r="AV40" s="51"/>
      <c r="AW40" s="85"/>
      <c r="AX40" s="50"/>
      <c r="AY40" s="78"/>
      <c r="AZ40" s="51"/>
      <c r="BA40" s="85"/>
      <c r="BB40" s="50"/>
      <c r="BC40" s="78"/>
      <c r="BD40" s="51"/>
      <c r="BE40" s="85"/>
      <c r="BF40" s="50"/>
      <c r="BG40" s="78"/>
      <c r="BH40" s="51"/>
      <c r="BI40" s="54"/>
      <c r="BJ40" s="50"/>
      <c r="BK40" s="50"/>
      <c r="BL40" s="51"/>
      <c r="BM40" s="50"/>
      <c r="BN40" s="50"/>
      <c r="BO40" s="50"/>
      <c r="BP40" s="51"/>
      <c r="BQ40" s="78"/>
      <c r="BR40" s="50"/>
      <c r="BS40" s="78"/>
      <c r="BT40" s="51"/>
      <c r="BU40" s="79">
        <v>7269315.3226186931</v>
      </c>
      <c r="BV40" s="36"/>
      <c r="BW40" s="80">
        <v>7269315.3226186931</v>
      </c>
      <c r="BY40" s="81"/>
      <c r="BZ40" s="83"/>
      <c r="CA40" s="81"/>
      <c r="CB40" s="83"/>
    </row>
    <row r="41" spans="1:82" ht="12.75" hidden="1" customHeight="1">
      <c r="A41">
        <v>26</v>
      </c>
      <c r="C41" s="37" t="str">
        <f t="shared" si="0"/>
        <v>W Increased ROE</v>
      </c>
      <c r="D41" s="77">
        <f t="shared" si="1"/>
        <v>2010</v>
      </c>
      <c r="E41" s="78">
        <v>33118925.023809522</v>
      </c>
      <c r="F41" s="78">
        <v>958810.85714285716</v>
      </c>
      <c r="G41" s="78">
        <v>32160114.166666664</v>
      </c>
      <c r="H41" s="42">
        <v>7614771.1905122027</v>
      </c>
      <c r="I41" s="85"/>
      <c r="J41" s="78"/>
      <c r="K41" s="78"/>
      <c r="L41" s="51"/>
      <c r="M41" s="85"/>
      <c r="N41" s="78"/>
      <c r="O41" s="78"/>
      <c r="P41" s="51"/>
      <c r="Q41" s="85"/>
      <c r="R41" s="78"/>
      <c r="S41" s="78"/>
      <c r="T41" s="51"/>
      <c r="U41" s="85"/>
      <c r="V41" s="78"/>
      <c r="W41" s="78"/>
      <c r="X41" s="51"/>
      <c r="Y41" s="85"/>
      <c r="Z41" s="78"/>
      <c r="AA41" s="78"/>
      <c r="AB41" s="51"/>
      <c r="AC41" s="85"/>
      <c r="AD41" s="78"/>
      <c r="AE41" s="78"/>
      <c r="AF41" s="51"/>
      <c r="AG41" s="85"/>
      <c r="AH41" s="78"/>
      <c r="AI41" s="78"/>
      <c r="AJ41" s="51"/>
      <c r="AK41" s="85"/>
      <c r="AL41" s="78"/>
      <c r="AM41" s="78"/>
      <c r="AN41" s="51"/>
      <c r="AO41" s="85"/>
      <c r="AP41" s="78"/>
      <c r="AQ41" s="78"/>
      <c r="AR41" s="51"/>
      <c r="AS41" s="85"/>
      <c r="AT41" s="78"/>
      <c r="AU41" s="78"/>
      <c r="AV41" s="51"/>
      <c r="AW41" s="85"/>
      <c r="AX41" s="78"/>
      <c r="AY41" s="78"/>
      <c r="AZ41" s="51"/>
      <c r="BA41" s="85"/>
      <c r="BB41" s="78"/>
      <c r="BC41" s="78"/>
      <c r="BD41" s="51"/>
      <c r="BE41" s="85"/>
      <c r="BF41" s="78"/>
      <c r="BG41" s="78"/>
      <c r="BH41" s="51"/>
      <c r="BI41" s="54"/>
      <c r="BJ41" s="50"/>
      <c r="BK41" s="50"/>
      <c r="BL41" s="51"/>
      <c r="BM41" s="50"/>
      <c r="BN41" s="50"/>
      <c r="BO41" s="50"/>
      <c r="BP41" s="51"/>
      <c r="BQ41" s="78"/>
      <c r="BR41" s="78"/>
      <c r="BS41" s="78"/>
      <c r="BT41" s="51"/>
      <c r="BU41" s="79">
        <v>7614771.1905122027</v>
      </c>
      <c r="BV41" s="82">
        <v>7614771.1905122027</v>
      </c>
      <c r="BW41" s="38"/>
      <c r="BX41" s="81"/>
      <c r="BZ41" s="83"/>
      <c r="CB41" s="83"/>
      <c r="CC41" s="84"/>
    </row>
    <row r="42" spans="1:82" s="5" customFormat="1" hidden="1">
      <c r="A42" s="5">
        <v>27</v>
      </c>
      <c r="C42" s="29" t="str">
        <f t="shared" si="0"/>
        <v>Base FCR</v>
      </c>
      <c r="D42" s="1072">
        <f t="shared" si="1"/>
        <v>2011</v>
      </c>
      <c r="E42" s="891">
        <v>32160114.166666664</v>
      </c>
      <c r="F42" s="891">
        <v>958810.85714285716</v>
      </c>
      <c r="G42" s="891">
        <v>31201303.309523806</v>
      </c>
      <c r="H42" s="1073">
        <v>7479577.2284321627</v>
      </c>
      <c r="I42" s="891">
        <v>36700000</v>
      </c>
      <c r="J42" s="59">
        <v>349523.80952380953</v>
      </c>
      <c r="K42" s="891">
        <v>36350476.190476194</v>
      </c>
      <c r="L42" s="60">
        <v>3514895.8931270503</v>
      </c>
      <c r="M42" s="891">
        <v>20000000</v>
      </c>
      <c r="N42" s="59">
        <v>190476.1904761905</v>
      </c>
      <c r="O42" s="891">
        <v>19809523.80952381</v>
      </c>
      <c r="P42" s="60">
        <v>1915474.6011591554</v>
      </c>
      <c r="Q42" s="891">
        <v>2000000</v>
      </c>
      <c r="R42" s="59">
        <v>19047.61904761905</v>
      </c>
      <c r="S42" s="891">
        <v>1980952.3809523811</v>
      </c>
      <c r="T42" s="60">
        <v>191547.46011591554</v>
      </c>
      <c r="U42" s="891">
        <v>2000000</v>
      </c>
      <c r="V42" s="59">
        <v>19047.61904761905</v>
      </c>
      <c r="W42" s="891">
        <v>1980952.3809523811</v>
      </c>
      <c r="X42" s="60">
        <v>191547.46011591554</v>
      </c>
      <c r="Y42" s="891">
        <v>2000000</v>
      </c>
      <c r="Z42" s="59">
        <v>19047.61904761905</v>
      </c>
      <c r="AA42" s="891">
        <v>1980952.3809523811</v>
      </c>
      <c r="AB42" s="60">
        <v>191547.46011591554</v>
      </c>
      <c r="AC42" s="891">
        <v>2000000</v>
      </c>
      <c r="AD42" s="59">
        <v>0</v>
      </c>
      <c r="AE42" s="891">
        <v>2000000</v>
      </c>
      <c r="AF42" s="60">
        <v>34831.69867725217</v>
      </c>
      <c r="AG42" s="891"/>
      <c r="AH42" s="891"/>
      <c r="AI42" s="891"/>
      <c r="AJ42" s="60"/>
      <c r="AK42" s="891"/>
      <c r="AL42" s="891"/>
      <c r="AM42" s="891"/>
      <c r="AN42" s="60"/>
      <c r="AO42" s="891"/>
      <c r="AP42" s="891"/>
      <c r="AQ42" s="891"/>
      <c r="AR42" s="60"/>
      <c r="AS42" s="891"/>
      <c r="AT42" s="891"/>
      <c r="AU42" s="891"/>
      <c r="AV42" s="60"/>
      <c r="AW42" s="891"/>
      <c r="AX42" s="891"/>
      <c r="AY42" s="891"/>
      <c r="AZ42" s="60"/>
      <c r="BA42" s="891"/>
      <c r="BB42" s="891"/>
      <c r="BC42" s="891"/>
      <c r="BD42" s="60"/>
      <c r="BE42" s="891"/>
      <c r="BF42" s="891"/>
      <c r="BG42" s="891"/>
      <c r="BH42" s="60"/>
      <c r="BI42" s="891">
        <v>9000000</v>
      </c>
      <c r="BJ42" s="891">
        <v>128571.42857142857</v>
      </c>
      <c r="BK42" s="891">
        <v>8871428.5714285709</v>
      </c>
      <c r="BL42" s="60">
        <v>1183016.3044713303</v>
      </c>
      <c r="BM42" s="891"/>
      <c r="BN42" s="891"/>
      <c r="BO42" s="891"/>
      <c r="BP42" s="60"/>
      <c r="BQ42" s="891"/>
      <c r="BR42" s="891"/>
      <c r="BS42" s="891"/>
      <c r="BT42" s="60"/>
      <c r="BU42" s="79">
        <v>14702438.106214698</v>
      </c>
      <c r="BV42" s="36"/>
      <c r="BW42" s="80">
        <v>14702438.106214698</v>
      </c>
      <c r="BX42" s="1074"/>
      <c r="BZ42" s="1075"/>
      <c r="CB42" s="1075"/>
    </row>
    <row r="43" spans="1:82" hidden="1">
      <c r="A43">
        <v>28</v>
      </c>
      <c r="C43" s="37" t="str">
        <f t="shared" si="0"/>
        <v>W Increased ROE</v>
      </c>
      <c r="D43" s="77">
        <f t="shared" si="1"/>
        <v>2011</v>
      </c>
      <c r="E43" s="78">
        <v>32160114.166666664</v>
      </c>
      <c r="F43" s="78">
        <v>958810.85714285716</v>
      </c>
      <c r="G43" s="78">
        <v>31201303.309523806</v>
      </c>
      <c r="H43" s="42">
        <v>7851697.6196108665</v>
      </c>
      <c r="I43" s="85">
        <v>36700000</v>
      </c>
      <c r="J43" s="50">
        <v>349523.80952380953</v>
      </c>
      <c r="K43" s="78">
        <v>36350476.190476194</v>
      </c>
      <c r="L43" s="51">
        <v>3695534.0928274468</v>
      </c>
      <c r="M43" s="85">
        <v>20000000</v>
      </c>
      <c r="N43" s="50">
        <v>190476.1904761905</v>
      </c>
      <c r="O43" s="78">
        <v>19809523.80952381</v>
      </c>
      <c r="P43" s="51">
        <v>2013915.0369631862</v>
      </c>
      <c r="Q43" s="85">
        <v>2000000</v>
      </c>
      <c r="R43" s="50">
        <v>19047.61904761905</v>
      </c>
      <c r="S43" s="78">
        <v>1980952.3809523811</v>
      </c>
      <c r="T43" s="51">
        <v>191547.46011591554</v>
      </c>
      <c r="U43" s="85">
        <v>2000000</v>
      </c>
      <c r="V43" s="50">
        <v>19047.61904761905</v>
      </c>
      <c r="W43" s="78">
        <v>1980952.3809523811</v>
      </c>
      <c r="X43" s="51">
        <v>191547.46011591554</v>
      </c>
      <c r="Y43" s="85">
        <v>2000000</v>
      </c>
      <c r="Z43" s="50">
        <v>19047.61904761905</v>
      </c>
      <c r="AA43" s="78">
        <v>1980952.3809523811</v>
      </c>
      <c r="AB43" s="51">
        <v>191547.46011591554</v>
      </c>
      <c r="AC43" s="85">
        <v>2000000</v>
      </c>
      <c r="AD43" s="50">
        <v>0</v>
      </c>
      <c r="AE43" s="78">
        <v>2000000</v>
      </c>
      <c r="AF43" s="51">
        <v>34831.69867725217</v>
      </c>
      <c r="AG43" s="85"/>
      <c r="AH43" s="78"/>
      <c r="AI43" s="78"/>
      <c r="AJ43" s="51"/>
      <c r="AK43" s="85"/>
      <c r="AL43" s="78"/>
      <c r="AM43" s="78"/>
      <c r="AN43" s="51"/>
      <c r="AO43" s="85"/>
      <c r="AP43" s="78"/>
      <c r="AQ43" s="78"/>
      <c r="AR43" s="51"/>
      <c r="AS43" s="85"/>
      <c r="AT43" s="78"/>
      <c r="AU43" s="78"/>
      <c r="AV43" s="51"/>
      <c r="AW43" s="85"/>
      <c r="AX43" s="78"/>
      <c r="AY43" s="78"/>
      <c r="AZ43" s="51"/>
      <c r="BA43" s="85"/>
      <c r="BB43" s="78"/>
      <c r="BC43" s="78"/>
      <c r="BD43" s="51"/>
      <c r="BE43" s="85"/>
      <c r="BF43" s="78"/>
      <c r="BG43" s="78"/>
      <c r="BH43" s="51"/>
      <c r="BI43" s="85">
        <v>9000000</v>
      </c>
      <c r="BJ43" s="78">
        <v>128571.42857142857</v>
      </c>
      <c r="BK43" s="78">
        <v>8871428.5714285709</v>
      </c>
      <c r="BL43" s="51">
        <v>1183016.3044713303</v>
      </c>
      <c r="BM43" s="85"/>
      <c r="BN43" s="78"/>
      <c r="BO43" s="78"/>
      <c r="BP43" s="51"/>
      <c r="BQ43" s="78"/>
      <c r="BR43" s="78"/>
      <c r="BS43" s="78"/>
      <c r="BT43" s="51"/>
      <c r="BU43" s="79">
        <v>15353637.132897828</v>
      </c>
      <c r="BV43" s="82">
        <v>15353637.132897828</v>
      </c>
      <c r="BW43" s="38"/>
      <c r="BX43" s="81"/>
      <c r="BZ43" s="83"/>
      <c r="CB43" s="83"/>
      <c r="CC43" s="84"/>
    </row>
    <row r="44" spans="1:82" hidden="1">
      <c r="A44">
        <v>29</v>
      </c>
      <c r="C44" s="37" t="str">
        <f t="shared" si="0"/>
        <v>Base FCR</v>
      </c>
      <c r="D44" s="77">
        <f t="shared" si="1"/>
        <v>2012</v>
      </c>
      <c r="E44" s="78">
        <v>31201303.309523806</v>
      </c>
      <c r="F44" s="78">
        <v>958810.85714285716</v>
      </c>
      <c r="G44" s="78">
        <v>30242492.452380948</v>
      </c>
      <c r="H44" s="42">
        <v>7457763.6637097541</v>
      </c>
      <c r="I44" s="85">
        <v>36350476.190476194</v>
      </c>
      <c r="J44" s="78">
        <v>1048571.4285714285</v>
      </c>
      <c r="K44" s="78">
        <v>35301904.761904769</v>
      </c>
      <c r="L44" s="51">
        <v>8634765.3704492562</v>
      </c>
      <c r="M44" s="85">
        <v>19809523.80952381</v>
      </c>
      <c r="N44" s="78">
        <v>571428.57142857148</v>
      </c>
      <c r="O44" s="78">
        <v>19238095.238095239</v>
      </c>
      <c r="P44" s="51">
        <v>4705594.2073292946</v>
      </c>
      <c r="Q44" s="85">
        <v>1980952.3809523811</v>
      </c>
      <c r="R44" s="78">
        <v>57142.857142857145</v>
      </c>
      <c r="S44" s="78">
        <v>1923809.523809524</v>
      </c>
      <c r="T44" s="51">
        <v>470559.42073292949</v>
      </c>
      <c r="U44" s="85">
        <v>1980952.3809523811</v>
      </c>
      <c r="V44" s="78">
        <v>57142.857142857145</v>
      </c>
      <c r="W44" s="78">
        <v>1923809.523809524</v>
      </c>
      <c r="X44" s="51">
        <v>470559.42073292949</v>
      </c>
      <c r="Y44" s="85">
        <v>1980952.3809523811</v>
      </c>
      <c r="Z44" s="78">
        <v>57142.857142857145</v>
      </c>
      <c r="AA44" s="78">
        <v>1923809.523809524</v>
      </c>
      <c r="AB44" s="51">
        <v>470559.42073292949</v>
      </c>
      <c r="AC44" s="85">
        <v>2000000</v>
      </c>
      <c r="AD44" s="78">
        <v>57142.857142857145</v>
      </c>
      <c r="AE44" s="78">
        <v>1942857.142857143</v>
      </c>
      <c r="AF44" s="51">
        <v>474652.65403580148</v>
      </c>
      <c r="AG44" s="85">
        <v>15875382</v>
      </c>
      <c r="AH44" s="50">
        <v>226791.17142857143</v>
      </c>
      <c r="AI44" s="78">
        <v>15648590.828571429</v>
      </c>
      <c r="AJ44" s="51">
        <v>2188424.4983059289</v>
      </c>
      <c r="AK44" s="85">
        <v>29544357</v>
      </c>
      <c r="AL44" s="50">
        <v>422062.24285714293</v>
      </c>
      <c r="AM44" s="78">
        <v>29122294.757142857</v>
      </c>
      <c r="AN44" s="51">
        <v>4072695.3622593936</v>
      </c>
      <c r="AO44" s="85">
        <v>58581170</v>
      </c>
      <c r="AP44" s="50">
        <v>836873.85714285704</v>
      </c>
      <c r="AQ44" s="78">
        <v>57744296.142857142</v>
      </c>
      <c r="AR44" s="51">
        <v>8075425.6853425223</v>
      </c>
      <c r="AS44" s="85">
        <v>5226954</v>
      </c>
      <c r="AT44" s="50">
        <v>74670.771428571432</v>
      </c>
      <c r="AU44" s="78">
        <v>5152283.2285714289</v>
      </c>
      <c r="AV44" s="51">
        <v>720536.62614973111</v>
      </c>
      <c r="AW44" s="85"/>
      <c r="AX44" s="50"/>
      <c r="AY44" s="78"/>
      <c r="AZ44" s="51"/>
      <c r="BA44" s="85"/>
      <c r="BB44" s="50"/>
      <c r="BC44" s="78"/>
      <c r="BD44" s="51"/>
      <c r="BE44" s="85"/>
      <c r="BF44" s="50"/>
      <c r="BG44" s="78"/>
      <c r="BH44" s="51"/>
      <c r="BI44" s="85">
        <v>8871428.5714285709</v>
      </c>
      <c r="BJ44" s="78">
        <v>257142.85714285713</v>
      </c>
      <c r="BK44" s="78">
        <v>8614285.7142857146</v>
      </c>
      <c r="BL44" s="51">
        <v>1281024.1134514573</v>
      </c>
      <c r="BM44" s="85"/>
      <c r="BN44" s="78"/>
      <c r="BO44" s="78"/>
      <c r="BP44" s="51"/>
      <c r="BQ44" s="85"/>
      <c r="BR44" s="50"/>
      <c r="BS44" s="78"/>
      <c r="BT44" s="51"/>
      <c r="BU44" s="79">
        <v>39022560.443231925</v>
      </c>
      <c r="BV44" s="36"/>
      <c r="BW44" s="80">
        <v>39022560.443231925</v>
      </c>
      <c r="BX44" s="81"/>
      <c r="BZ44" s="83"/>
      <c r="CB44" s="83"/>
    </row>
    <row r="45" spans="1:82" hidden="1">
      <c r="A45">
        <v>30</v>
      </c>
      <c r="C45" s="37" t="str">
        <f t="shared" si="0"/>
        <v>W Increased ROE</v>
      </c>
      <c r="D45" s="77">
        <f t="shared" si="1"/>
        <v>2012</v>
      </c>
      <c r="E45" s="78">
        <v>31201303.309523806</v>
      </c>
      <c r="F45" s="78">
        <v>958810.85714285716</v>
      </c>
      <c r="G45" s="78">
        <v>30242492.452380948</v>
      </c>
      <c r="H45" s="42">
        <v>7842354.4874942722</v>
      </c>
      <c r="I45" s="85">
        <v>36350476.190476194</v>
      </c>
      <c r="J45" s="78">
        <v>1048571.4285714285</v>
      </c>
      <c r="K45" s="78">
        <v>35301904.761904769</v>
      </c>
      <c r="L45" s="51">
        <v>9083696.2465971541</v>
      </c>
      <c r="M45" s="85">
        <v>19809523.80952381</v>
      </c>
      <c r="N45" s="78">
        <v>571428.57142857148</v>
      </c>
      <c r="O45" s="78">
        <v>19238095.238095239</v>
      </c>
      <c r="P45" s="51">
        <v>4950243.1861564871</v>
      </c>
      <c r="Q45" s="85">
        <v>1980952.3809523811</v>
      </c>
      <c r="R45" s="78">
        <v>57142.857142857145</v>
      </c>
      <c r="S45" s="78">
        <v>1923809.523809524</v>
      </c>
      <c r="T45" s="51">
        <v>470559.42073292949</v>
      </c>
      <c r="U45" s="85">
        <v>1980952.3809523811</v>
      </c>
      <c r="V45" s="78">
        <v>57142.857142857145</v>
      </c>
      <c r="W45" s="78">
        <v>1923809.523809524</v>
      </c>
      <c r="X45" s="51">
        <v>470559.42073292949</v>
      </c>
      <c r="Y45" s="85">
        <v>1980952.3809523811</v>
      </c>
      <c r="Z45" s="78">
        <v>57142.857142857145</v>
      </c>
      <c r="AA45" s="78">
        <v>1923809.523809524</v>
      </c>
      <c r="AB45" s="51">
        <v>470559.42073292949</v>
      </c>
      <c r="AC45" s="85">
        <v>2000000</v>
      </c>
      <c r="AD45" s="78">
        <v>57142.857142857145</v>
      </c>
      <c r="AE45" s="78">
        <v>1942857.142857143</v>
      </c>
      <c r="AF45" s="51">
        <v>474652.65403580148</v>
      </c>
      <c r="AG45" s="85">
        <v>15875382</v>
      </c>
      <c r="AH45" s="50">
        <v>226791.17142857143</v>
      </c>
      <c r="AI45" s="78">
        <v>15648590.828571429</v>
      </c>
      <c r="AJ45" s="51">
        <v>2188424.4983059289</v>
      </c>
      <c r="AK45" s="85">
        <v>29544357</v>
      </c>
      <c r="AL45" s="50">
        <v>422062.24285714293</v>
      </c>
      <c r="AM45" s="78">
        <v>29122294.757142857</v>
      </c>
      <c r="AN45" s="51">
        <v>4072695.3622593936</v>
      </c>
      <c r="AO45" s="85">
        <v>58581170</v>
      </c>
      <c r="AP45" s="50">
        <v>836873.85714285704</v>
      </c>
      <c r="AQ45" s="78">
        <v>57744296.142857142</v>
      </c>
      <c r="AR45" s="51">
        <v>8075425.6853425223</v>
      </c>
      <c r="AS45" s="85">
        <v>5226954</v>
      </c>
      <c r="AT45" s="50">
        <v>74670.771428571432</v>
      </c>
      <c r="AU45" s="78">
        <v>5152283.2285714289</v>
      </c>
      <c r="AV45" s="51">
        <v>720536.62614973111</v>
      </c>
      <c r="AW45" s="85"/>
      <c r="AX45" s="50"/>
      <c r="AY45" s="78"/>
      <c r="AZ45" s="51"/>
      <c r="BA45" s="85"/>
      <c r="BB45" s="50"/>
      <c r="BC45" s="78"/>
      <c r="BD45" s="51"/>
      <c r="BE45" s="85"/>
      <c r="BF45" s="50"/>
      <c r="BG45" s="78"/>
      <c r="BH45" s="51"/>
      <c r="BI45" s="85">
        <v>8871428.5714285709</v>
      </c>
      <c r="BJ45" s="78">
        <v>257142.85714285713</v>
      </c>
      <c r="BK45" s="78">
        <v>8614285.7142857146</v>
      </c>
      <c r="BL45" s="51">
        <v>1281024.1134514573</v>
      </c>
      <c r="BM45" s="85"/>
      <c r="BN45" s="78"/>
      <c r="BO45" s="78"/>
      <c r="BP45" s="51"/>
      <c r="BQ45" s="85"/>
      <c r="BR45" s="50"/>
      <c r="BS45" s="78"/>
      <c r="BT45" s="51"/>
      <c r="BU45" s="79">
        <v>40100731.121991538</v>
      </c>
      <c r="BV45" s="82">
        <v>40100731.121991538</v>
      </c>
      <c r="BW45" s="38"/>
      <c r="BX45" s="81"/>
      <c r="BZ45" s="83"/>
      <c r="CB45" s="83"/>
    </row>
    <row r="46" spans="1:82" hidden="1">
      <c r="A46">
        <v>31</v>
      </c>
      <c r="C46" s="37" t="str">
        <f t="shared" si="0"/>
        <v>Base FCR</v>
      </c>
      <c r="D46" s="77">
        <f t="shared" si="1"/>
        <v>2013</v>
      </c>
      <c r="E46" s="78">
        <v>30242492.452380948</v>
      </c>
      <c r="F46" s="78">
        <v>958810.85714285716</v>
      </c>
      <c r="G46" s="78">
        <v>29283681.59523809</v>
      </c>
      <c r="H46" s="42">
        <v>6386712.6661578128</v>
      </c>
      <c r="I46" s="85">
        <v>35301904.761904769</v>
      </c>
      <c r="J46" s="78">
        <v>1048571.4285714285</v>
      </c>
      <c r="K46" s="78">
        <v>34253333.333333343</v>
      </c>
      <c r="L46" s="51">
        <v>7397627.2793571427</v>
      </c>
      <c r="M46" s="85">
        <v>19238095.238095239</v>
      </c>
      <c r="N46" s="78">
        <v>571428.57142857148</v>
      </c>
      <c r="O46" s="78">
        <v>18666666.666666668</v>
      </c>
      <c r="P46" s="51">
        <v>4031404.5119112488</v>
      </c>
      <c r="Q46" s="85">
        <v>1923809.523809524</v>
      </c>
      <c r="R46" s="78">
        <v>57142.857142857145</v>
      </c>
      <c r="S46" s="78">
        <v>1866666.666666667</v>
      </c>
      <c r="T46" s="51">
        <v>403140.45119112491</v>
      </c>
      <c r="U46" s="85">
        <v>1923809.523809524</v>
      </c>
      <c r="V46" s="78">
        <v>57142.857142857145</v>
      </c>
      <c r="W46" s="78">
        <v>1866666.666666667</v>
      </c>
      <c r="X46" s="51">
        <v>403140.45119112491</v>
      </c>
      <c r="Y46" s="85">
        <v>1923809.523809524</v>
      </c>
      <c r="Z46" s="78">
        <v>57142.857142857145</v>
      </c>
      <c r="AA46" s="78">
        <v>1866666.666666667</v>
      </c>
      <c r="AB46" s="51">
        <v>403140.45119112491</v>
      </c>
      <c r="AC46" s="85">
        <v>1942857.142857143</v>
      </c>
      <c r="AD46" s="78">
        <v>57142.857142857145</v>
      </c>
      <c r="AE46" s="78">
        <v>1885714.2857142859</v>
      </c>
      <c r="AF46" s="51">
        <v>406671.03888549499</v>
      </c>
      <c r="AG46" s="85">
        <v>15648590.828571429</v>
      </c>
      <c r="AH46" s="78">
        <v>453582.34285714285</v>
      </c>
      <c r="AI46" s="78">
        <v>15195008.485714287</v>
      </c>
      <c r="AJ46" s="51">
        <v>3270066.1165715116</v>
      </c>
      <c r="AK46" s="85">
        <v>29122294.757142857</v>
      </c>
      <c r="AL46" s="78">
        <v>844124.48571428575</v>
      </c>
      <c r="AM46" s="78">
        <v>28278170.27142857</v>
      </c>
      <c r="AN46" s="51">
        <v>6085648.8846436795</v>
      </c>
      <c r="AO46" s="85">
        <v>57744296.142857142</v>
      </c>
      <c r="AP46" s="78">
        <v>1673747.7142857143</v>
      </c>
      <c r="AQ46" s="78">
        <v>56070548.428571425</v>
      </c>
      <c r="AR46" s="51">
        <v>12066752.099956745</v>
      </c>
      <c r="AS46" s="85">
        <v>5152283.2285714289</v>
      </c>
      <c r="AT46" s="78">
        <v>149341.54285714286</v>
      </c>
      <c r="AU46" s="78">
        <v>5002941.6857142858</v>
      </c>
      <c r="AV46" s="51">
        <v>1076666.0712969257</v>
      </c>
      <c r="AW46" s="85">
        <v>18731954</v>
      </c>
      <c r="AX46" s="48">
        <v>267599.34285714285</v>
      </c>
      <c r="AY46" s="78">
        <v>18464354.657142859</v>
      </c>
      <c r="AZ46" s="42">
        <v>2264043.8075525668</v>
      </c>
      <c r="BA46" s="85"/>
      <c r="BB46" s="48"/>
      <c r="BC46" s="78"/>
      <c r="BD46" s="42"/>
      <c r="BE46" s="85"/>
      <c r="BF46" s="48"/>
      <c r="BG46" s="78"/>
      <c r="BH46" s="42"/>
      <c r="BI46" s="85">
        <v>8614285.7142857146</v>
      </c>
      <c r="BJ46" s="78">
        <v>257142.85714285713</v>
      </c>
      <c r="BK46" s="78">
        <v>8357142.8571428573</v>
      </c>
      <c r="BL46" s="51">
        <v>1250460.4938601558</v>
      </c>
      <c r="BM46" s="85"/>
      <c r="BN46" s="78"/>
      <c r="BO46" s="78"/>
      <c r="BP46" s="51"/>
      <c r="BQ46" s="85"/>
      <c r="BR46" s="48"/>
      <c r="BS46" s="78"/>
      <c r="BT46" s="42"/>
      <c r="BU46" s="79">
        <v>45445474.323766656</v>
      </c>
      <c r="BV46" s="36"/>
      <c r="BW46" s="80">
        <v>45445474.323766656</v>
      </c>
      <c r="BX46" s="81"/>
      <c r="BZ46" s="83"/>
      <c r="CB46" s="83"/>
    </row>
    <row r="47" spans="1:82" hidden="1">
      <c r="A47">
        <v>32</v>
      </c>
      <c r="C47" s="37" t="str">
        <f t="shared" si="0"/>
        <v>W Increased ROE</v>
      </c>
      <c r="D47" s="77">
        <f t="shared" si="1"/>
        <v>2013</v>
      </c>
      <c r="E47" s="78">
        <v>30242492.452380948</v>
      </c>
      <c r="F47" s="78">
        <v>958810.85714285716</v>
      </c>
      <c r="G47" s="78">
        <v>29283681.59523809</v>
      </c>
      <c r="H47" s="42">
        <v>6714616.5679272749</v>
      </c>
      <c r="I47" s="85">
        <v>35301904.761904769</v>
      </c>
      <c r="J47" s="78">
        <v>1048571.4285714285</v>
      </c>
      <c r="K47" s="78">
        <v>34253333.333333343</v>
      </c>
      <c r="L47" s="51">
        <v>7781178.8356080614</v>
      </c>
      <c r="M47" s="85">
        <v>19238095.238095239</v>
      </c>
      <c r="N47" s="78">
        <v>571428.57142857148</v>
      </c>
      <c r="O47" s="78">
        <v>18666666.666666668</v>
      </c>
      <c r="P47" s="51">
        <v>4240424.4335738746</v>
      </c>
      <c r="Q47" s="85">
        <v>1923809.523809524</v>
      </c>
      <c r="R47" s="78">
        <v>57142.857142857145</v>
      </c>
      <c r="S47" s="78">
        <v>1866666.666666667</v>
      </c>
      <c r="T47" s="51">
        <v>403140.45119112491</v>
      </c>
      <c r="U47" s="85">
        <v>1923809.523809524</v>
      </c>
      <c r="V47" s="78">
        <v>57142.857142857145</v>
      </c>
      <c r="W47" s="78">
        <v>1866666.666666667</v>
      </c>
      <c r="X47" s="51">
        <v>403140.45119112491</v>
      </c>
      <c r="Y47" s="85">
        <v>1923809.523809524</v>
      </c>
      <c r="Z47" s="78">
        <v>57142.857142857145</v>
      </c>
      <c r="AA47" s="78">
        <v>1866666.666666667</v>
      </c>
      <c r="AB47" s="51">
        <v>403140.45119112491</v>
      </c>
      <c r="AC47" s="85">
        <v>1942857.142857143</v>
      </c>
      <c r="AD47" s="78">
        <v>57142.857142857145</v>
      </c>
      <c r="AE47" s="78">
        <v>1885714.2857142859</v>
      </c>
      <c r="AF47" s="51">
        <v>406671.03888549499</v>
      </c>
      <c r="AG47" s="85">
        <v>15648590.828571429</v>
      </c>
      <c r="AH47" s="78">
        <v>453582.34285714285</v>
      </c>
      <c r="AI47" s="78">
        <v>15195008.485714287</v>
      </c>
      <c r="AJ47" s="51">
        <v>3440212.1603222406</v>
      </c>
      <c r="AK47" s="85">
        <v>29122294.757142857</v>
      </c>
      <c r="AL47" s="78">
        <v>844124.48571428575</v>
      </c>
      <c r="AM47" s="78">
        <v>28278170.27142857</v>
      </c>
      <c r="AN47" s="51">
        <v>6402293.5775845582</v>
      </c>
      <c r="AO47" s="85">
        <v>57744296.142857142</v>
      </c>
      <c r="AP47" s="78">
        <v>1673747.7142857143</v>
      </c>
      <c r="AQ47" s="78">
        <v>56070548.428571425</v>
      </c>
      <c r="AR47" s="51">
        <v>12066752.099956745</v>
      </c>
      <c r="AS47" s="85">
        <v>5152283.2285714289</v>
      </c>
      <c r="AT47" s="78">
        <v>149341.54285714286</v>
      </c>
      <c r="AU47" s="78">
        <v>5002941.6857142858</v>
      </c>
      <c r="AV47" s="51">
        <v>1076666.0712969257</v>
      </c>
      <c r="AW47" s="85">
        <v>18731954</v>
      </c>
      <c r="AX47" s="48">
        <v>267599.34285714285</v>
      </c>
      <c r="AY47" s="78">
        <v>18464354.657142859</v>
      </c>
      <c r="AZ47" s="42">
        <v>2384650.6189271589</v>
      </c>
      <c r="BA47" s="85"/>
      <c r="BB47" s="48"/>
      <c r="BC47" s="78"/>
      <c r="BD47" s="42"/>
      <c r="BE47" s="85"/>
      <c r="BF47" s="48"/>
      <c r="BG47" s="78"/>
      <c r="BH47" s="42"/>
      <c r="BI47" s="85">
        <v>8614285.7142857146</v>
      </c>
      <c r="BJ47" s="78">
        <v>257142.85714285713</v>
      </c>
      <c r="BK47" s="78">
        <v>8357142.8571428573</v>
      </c>
      <c r="BL47" s="51">
        <v>1250460.4938601558</v>
      </c>
      <c r="BM47" s="85"/>
      <c r="BN47" s="78"/>
      <c r="BO47" s="78"/>
      <c r="BP47" s="51"/>
      <c r="BQ47" s="85"/>
      <c r="BR47" s="48"/>
      <c r="BS47" s="78"/>
      <c r="BT47" s="42"/>
      <c r="BU47" s="79">
        <v>46973347.251515858</v>
      </c>
      <c r="BV47" s="82">
        <v>46973347.251515858</v>
      </c>
      <c r="BW47" s="38"/>
      <c r="BX47" s="81"/>
      <c r="BY47" s="81"/>
      <c r="BZ47" s="83"/>
      <c r="CB47" s="83"/>
    </row>
    <row r="48" spans="1:82" s="5" customFormat="1" hidden="1">
      <c r="A48" s="5">
        <v>33</v>
      </c>
      <c r="C48" s="29" t="str">
        <f t="shared" si="0"/>
        <v>Base FCR</v>
      </c>
      <c r="D48" s="1072">
        <f t="shared" si="1"/>
        <v>2014</v>
      </c>
      <c r="E48" s="891">
        <v>29283681.59523809</v>
      </c>
      <c r="F48" s="891">
        <v>958810.85714285716</v>
      </c>
      <c r="G48" s="891">
        <v>28324870.738095231</v>
      </c>
      <c r="H48" s="1073">
        <v>5515944.0767623195</v>
      </c>
      <c r="I48" s="1076">
        <v>34253333.333333343</v>
      </c>
      <c r="J48" s="891">
        <v>1048571.4285714285</v>
      </c>
      <c r="K48" s="891">
        <v>33204761.904761914</v>
      </c>
      <c r="L48" s="60">
        <v>6390820.8222193606</v>
      </c>
      <c r="M48" s="1076">
        <v>18666666.666666668</v>
      </c>
      <c r="N48" s="891">
        <v>571428.57142857148</v>
      </c>
      <c r="O48" s="891">
        <v>18095238.095238097</v>
      </c>
      <c r="P48" s="60">
        <v>3482736.1428988338</v>
      </c>
      <c r="Q48" s="1076">
        <v>1866666.666666667</v>
      </c>
      <c r="R48" s="891">
        <v>57142.857142857145</v>
      </c>
      <c r="S48" s="891">
        <v>1809523.8095238099</v>
      </c>
      <c r="T48" s="60">
        <v>348273.61428988347</v>
      </c>
      <c r="U48" s="1076">
        <v>1866666.666666667</v>
      </c>
      <c r="V48" s="891">
        <v>57142.857142857145</v>
      </c>
      <c r="W48" s="891">
        <v>1809523.8095238099</v>
      </c>
      <c r="X48" s="60">
        <v>348273.61428988347</v>
      </c>
      <c r="Y48" s="1076">
        <v>1866666.666666667</v>
      </c>
      <c r="Z48" s="891">
        <v>57142.857142857145</v>
      </c>
      <c r="AA48" s="891">
        <v>1809523.8095238099</v>
      </c>
      <c r="AB48" s="60">
        <v>348273.61428988347</v>
      </c>
      <c r="AC48" s="1076">
        <v>1885714.2857142859</v>
      </c>
      <c r="AD48" s="891">
        <v>57142.857142857145</v>
      </c>
      <c r="AE48" s="891">
        <v>1828571.4285714289</v>
      </c>
      <c r="AF48" s="60">
        <v>351338.14857564162</v>
      </c>
      <c r="AG48" s="1076">
        <v>15195008.485714287</v>
      </c>
      <c r="AH48" s="891">
        <v>453582.34285714285</v>
      </c>
      <c r="AI48" s="891">
        <v>14741426.142857144</v>
      </c>
      <c r="AJ48" s="60">
        <v>2825301.6492344141</v>
      </c>
      <c r="AK48" s="1076">
        <v>28278170.27142857</v>
      </c>
      <c r="AL48" s="891">
        <v>844124.48571428575</v>
      </c>
      <c r="AM48" s="891">
        <v>27434045.785714284</v>
      </c>
      <c r="AN48" s="60">
        <v>5257934.6158517813</v>
      </c>
      <c r="AO48" s="1076">
        <v>56070548.428571425</v>
      </c>
      <c r="AP48" s="891">
        <v>1673747.7142857143</v>
      </c>
      <c r="AQ48" s="891">
        <v>54396800.714285709</v>
      </c>
      <c r="AR48" s="60">
        <v>10425542.907571077</v>
      </c>
      <c r="AS48" s="1076">
        <v>5002941.6857142858</v>
      </c>
      <c r="AT48" s="891">
        <v>149341.54285714286</v>
      </c>
      <c r="AU48" s="891">
        <v>4853600.1428571427</v>
      </c>
      <c r="AV48" s="60">
        <v>930227.8053323325</v>
      </c>
      <c r="AW48" s="1076">
        <v>18754204.657142859</v>
      </c>
      <c r="AX48" s="891">
        <v>543480.11428571434</v>
      </c>
      <c r="AY48" s="891">
        <v>18210724.542857144</v>
      </c>
      <c r="AZ48" s="60">
        <v>3473368.0751150986</v>
      </c>
      <c r="BA48" s="1076">
        <v>59051650</v>
      </c>
      <c r="BB48" s="1077">
        <v>281198.33333333331</v>
      </c>
      <c r="BC48" s="891">
        <v>58770451.666666664</v>
      </c>
      <c r="BD48" s="60">
        <v>9736661.6997379884</v>
      </c>
      <c r="BE48" s="1076"/>
      <c r="BF48" s="1077"/>
      <c r="BG48" s="891"/>
      <c r="BH48" s="60"/>
      <c r="BI48" s="85">
        <v>8357142.8571428573</v>
      </c>
      <c r="BJ48" s="891">
        <v>257142.85714285713</v>
      </c>
      <c r="BK48" s="891">
        <v>8100000</v>
      </c>
      <c r="BL48" s="60">
        <v>1219896.8742688543</v>
      </c>
      <c r="BM48" s="891">
        <v>39000000</v>
      </c>
      <c r="BN48" s="891">
        <v>557142.85714285716</v>
      </c>
      <c r="BO48" s="891">
        <v>38442857.142857142</v>
      </c>
      <c r="BP48" s="60">
        <v>5126403.9860424316</v>
      </c>
      <c r="BQ48" s="891"/>
      <c r="BR48" s="891"/>
      <c r="BS48" s="891"/>
      <c r="BT48" s="60"/>
      <c r="BU48" s="79">
        <v>55780997.646479785</v>
      </c>
      <c r="BV48" s="36"/>
      <c r="BW48" s="80">
        <v>55780997.646479785</v>
      </c>
      <c r="BZ48" s="1075"/>
    </row>
    <row r="49" spans="1:78" hidden="1">
      <c r="A49">
        <v>34</v>
      </c>
      <c r="C49" s="37" t="str">
        <f t="shared" si="0"/>
        <v>W Increased ROE</v>
      </c>
      <c r="D49" s="77">
        <f t="shared" si="1"/>
        <v>2014</v>
      </c>
      <c r="E49" s="78">
        <v>29283681.59523809</v>
      </c>
      <c r="F49" s="78">
        <v>958810.85714285716</v>
      </c>
      <c r="G49" s="78">
        <v>28324870.738095231</v>
      </c>
      <c r="H49" s="42">
        <v>5811190.3036262281</v>
      </c>
      <c r="I49" s="85">
        <v>34253333.333333343</v>
      </c>
      <c r="J49" s="78">
        <v>1048571.4285714285</v>
      </c>
      <c r="K49" s="78">
        <v>33204761.904761914</v>
      </c>
      <c r="L49" s="51">
        <v>6736932.9283237038</v>
      </c>
      <c r="M49" s="85">
        <v>18666666.666666668</v>
      </c>
      <c r="N49" s="78">
        <v>571428.57142857148</v>
      </c>
      <c r="O49" s="78">
        <v>18095238.095238097</v>
      </c>
      <c r="P49" s="51">
        <v>3671353.0944543341</v>
      </c>
      <c r="Q49" s="85">
        <v>1866666.666666667</v>
      </c>
      <c r="R49" s="78">
        <v>57142.857142857145</v>
      </c>
      <c r="S49" s="78">
        <v>1809523.8095238099</v>
      </c>
      <c r="T49" s="51">
        <v>348273.61428988347</v>
      </c>
      <c r="U49" s="85">
        <v>1866666.666666667</v>
      </c>
      <c r="V49" s="78">
        <v>57142.857142857145</v>
      </c>
      <c r="W49" s="78">
        <v>1809523.8095238099</v>
      </c>
      <c r="X49" s="51">
        <v>348273.61428988347</v>
      </c>
      <c r="Y49" s="85">
        <v>1866666.666666667</v>
      </c>
      <c r="Z49" s="78">
        <v>57142.857142857145</v>
      </c>
      <c r="AA49" s="78">
        <v>1809523.8095238099</v>
      </c>
      <c r="AB49" s="51">
        <v>348273.61428988347</v>
      </c>
      <c r="AC49" s="85">
        <v>1885714.2857142859</v>
      </c>
      <c r="AD49" s="78">
        <v>57142.857142857145</v>
      </c>
      <c r="AE49" s="78">
        <v>1828571.4285714289</v>
      </c>
      <c r="AF49" s="51">
        <v>351338.14857564162</v>
      </c>
      <c r="AG49" s="85">
        <v>15195008.485714287</v>
      </c>
      <c r="AH49" s="78">
        <v>453582.34285714285</v>
      </c>
      <c r="AI49" s="78">
        <v>14741426.142857144</v>
      </c>
      <c r="AJ49" s="51">
        <v>2978959.9125859183</v>
      </c>
      <c r="AK49" s="85">
        <v>28278170.27142857</v>
      </c>
      <c r="AL49" s="78">
        <v>844124.48571428575</v>
      </c>
      <c r="AM49" s="78">
        <v>27434045.785714284</v>
      </c>
      <c r="AN49" s="51">
        <v>5543895.2679140037</v>
      </c>
      <c r="AO49" s="85">
        <v>56070548.428571425</v>
      </c>
      <c r="AP49" s="78">
        <v>1673747.7142857143</v>
      </c>
      <c r="AQ49" s="78">
        <v>54396800.714285709</v>
      </c>
      <c r="AR49" s="51">
        <v>10425542.907571077</v>
      </c>
      <c r="AS49" s="85">
        <v>5002941.6857142858</v>
      </c>
      <c r="AT49" s="78">
        <v>149341.54285714286</v>
      </c>
      <c r="AU49" s="78">
        <v>4853600.1428571427</v>
      </c>
      <c r="AV49" s="51">
        <v>930227.8053323325</v>
      </c>
      <c r="AW49" s="85">
        <v>18754204.657142859</v>
      </c>
      <c r="AX49" s="78">
        <v>543480.11428571434</v>
      </c>
      <c r="AY49" s="78">
        <v>18210724.542857144</v>
      </c>
      <c r="AZ49" s="51">
        <v>3663188.8075537924</v>
      </c>
      <c r="BA49" s="85">
        <v>59051650</v>
      </c>
      <c r="BB49" s="48">
        <v>281198.33333333331</v>
      </c>
      <c r="BC49" s="78">
        <v>58770451.666666664</v>
      </c>
      <c r="BD49" s="51">
        <v>9736661.6997379884</v>
      </c>
      <c r="BE49" s="85"/>
      <c r="BF49" s="48"/>
      <c r="BG49" s="78"/>
      <c r="BH49" s="51"/>
      <c r="BI49" s="85">
        <v>8357142.8571428573</v>
      </c>
      <c r="BJ49" s="78">
        <v>257142.85714285713</v>
      </c>
      <c r="BK49" s="78">
        <v>8100000</v>
      </c>
      <c r="BL49" s="51">
        <v>1219896.8742688543</v>
      </c>
      <c r="BM49" s="85">
        <v>39000000</v>
      </c>
      <c r="BN49" s="78">
        <v>557142.85714285716</v>
      </c>
      <c r="BO49" s="78">
        <v>38442857.142857142</v>
      </c>
      <c r="BP49" s="51">
        <v>5126403.9860424316</v>
      </c>
      <c r="BQ49" s="85"/>
      <c r="BR49" s="78"/>
      <c r="BS49" s="78"/>
      <c r="BT49" s="51"/>
      <c r="BU49" s="79">
        <v>57240412.578855954</v>
      </c>
      <c r="BV49" s="82">
        <v>57240412.578855954</v>
      </c>
      <c r="BW49" s="38"/>
      <c r="BX49" s="81"/>
      <c r="BY49" s="81"/>
      <c r="BZ49" s="83"/>
    </row>
    <row r="50" spans="1:78" hidden="1">
      <c r="A50">
        <v>35</v>
      </c>
      <c r="C50" s="37" t="str">
        <f t="shared" si="0"/>
        <v>Base FCR</v>
      </c>
      <c r="D50" s="77">
        <f t="shared" si="1"/>
        <v>2015</v>
      </c>
      <c r="E50" s="78">
        <v>28324870.738095231</v>
      </c>
      <c r="F50" s="78">
        <v>958810.85714285716</v>
      </c>
      <c r="G50" s="78">
        <v>27366059.880952373</v>
      </c>
      <c r="H50" s="42">
        <v>5287303.3377984744</v>
      </c>
      <c r="I50" s="85">
        <v>33204761.904761914</v>
      </c>
      <c r="J50" s="78">
        <v>1048571.4285714285</v>
      </c>
      <c r="K50" s="78">
        <v>32156190.476190485</v>
      </c>
      <c r="L50" s="51">
        <v>6134719.35370987</v>
      </c>
      <c r="M50" s="85">
        <v>18095238.095238097</v>
      </c>
      <c r="N50" s="78">
        <v>571428.57142857148</v>
      </c>
      <c r="O50" s="78">
        <v>17523809.523809526</v>
      </c>
      <c r="P50" s="51">
        <v>3343171.3099236349</v>
      </c>
      <c r="Q50" s="85">
        <v>1809523.8095238099</v>
      </c>
      <c r="R50" s="78">
        <v>57142.857142857145</v>
      </c>
      <c r="S50" s="78">
        <v>1752380.9523809529</v>
      </c>
      <c r="T50" s="51">
        <v>334317.13099236356</v>
      </c>
      <c r="U50" s="85">
        <v>1809523.8095238099</v>
      </c>
      <c r="V50" s="78">
        <v>57142.857142857145</v>
      </c>
      <c r="W50" s="78">
        <v>1752380.9523809529</v>
      </c>
      <c r="X50" s="51">
        <v>334317.13099236356</v>
      </c>
      <c r="Y50" s="85">
        <v>1809523.8095238099</v>
      </c>
      <c r="Z50" s="78">
        <v>57142.857142857145</v>
      </c>
      <c r="AA50" s="78">
        <v>1752380.9523809529</v>
      </c>
      <c r="AB50" s="51">
        <v>334317.13099236356</v>
      </c>
      <c r="AC50" s="85">
        <v>1828571.4285714289</v>
      </c>
      <c r="AD50" s="78">
        <v>57142.857142857145</v>
      </c>
      <c r="AE50" s="78">
        <v>1771428.5714285718</v>
      </c>
      <c r="AF50" s="51">
        <v>337329.8948385538</v>
      </c>
      <c r="AG50" s="85">
        <v>14741426.142857144</v>
      </c>
      <c r="AH50" s="78">
        <v>453582.34285714285</v>
      </c>
      <c r="AI50" s="78">
        <v>14287843.800000001</v>
      </c>
      <c r="AJ50" s="51">
        <v>2713492.0529914796</v>
      </c>
      <c r="AK50" s="85">
        <v>27434045.785714284</v>
      </c>
      <c r="AL50" s="78">
        <v>844124.48571428575</v>
      </c>
      <c r="AM50" s="78">
        <v>26589921.299999997</v>
      </c>
      <c r="AN50" s="51">
        <v>5049855.0479127476</v>
      </c>
      <c r="AO50" s="85">
        <v>54396800.714285709</v>
      </c>
      <c r="AP50" s="78">
        <v>1673747.7142857143</v>
      </c>
      <c r="AQ50" s="78">
        <v>52723052.999999993</v>
      </c>
      <c r="AR50" s="51">
        <v>10012958.381092364</v>
      </c>
      <c r="AS50" s="85">
        <v>4853600.1428571427</v>
      </c>
      <c r="AT50" s="78">
        <v>149341.54285714286</v>
      </c>
      <c r="AU50" s="78">
        <v>4704258.5999999996</v>
      </c>
      <c r="AV50" s="51">
        <v>893414.6051006536</v>
      </c>
      <c r="AW50" s="85">
        <v>18210724.542857144</v>
      </c>
      <c r="AX50" s="78">
        <v>543480.11428571434</v>
      </c>
      <c r="AY50" s="78">
        <v>17667244.428571429</v>
      </c>
      <c r="AZ50" s="51">
        <v>3337909.9662865694</v>
      </c>
      <c r="BA50" s="85">
        <v>51571153.856666662</v>
      </c>
      <c r="BB50" s="78">
        <v>1481495.7768571428</v>
      </c>
      <c r="BC50" s="78">
        <v>50089658.079809517</v>
      </c>
      <c r="BD50" s="51">
        <v>9404182.1007285137</v>
      </c>
      <c r="BE50" s="85">
        <v>8172728.0800000001</v>
      </c>
      <c r="BF50" s="48">
        <v>194588.76380952381</v>
      </c>
      <c r="BG50" s="78">
        <v>7978139.3161904765</v>
      </c>
      <c r="BH50" s="51">
        <v>1456491.8726231416</v>
      </c>
      <c r="BI50" s="85">
        <v>8100000</v>
      </c>
      <c r="BJ50" s="78">
        <v>257142.85714285713</v>
      </c>
      <c r="BK50" s="78">
        <v>7842857.1428571427</v>
      </c>
      <c r="BL50" s="51">
        <v>1189333.2546775527</v>
      </c>
      <c r="BM50" s="85">
        <v>38442857.142857142</v>
      </c>
      <c r="BN50" s="78">
        <v>1114285.7142857143</v>
      </c>
      <c r="BO50" s="78">
        <v>37328571.428571425</v>
      </c>
      <c r="BP50" s="51">
        <v>5551104.4916229816</v>
      </c>
      <c r="BQ50" s="891">
        <v>9200000</v>
      </c>
      <c r="BR50" s="891">
        <v>131428.57142857142</v>
      </c>
      <c r="BS50" s="891">
        <v>9068571.4285714291</v>
      </c>
      <c r="BT50" s="60">
        <v>1209305.5556818044</v>
      </c>
      <c r="BU50" s="79">
        <v>56923522.617965423</v>
      </c>
      <c r="BV50" s="36"/>
      <c r="BW50" s="80">
        <v>56923522.617965423</v>
      </c>
      <c r="BX50" s="86"/>
    </row>
    <row r="51" spans="1:78" hidden="1">
      <c r="A51">
        <v>36</v>
      </c>
      <c r="C51" s="37" t="str">
        <f t="shared" si="0"/>
        <v>W Increased ROE</v>
      </c>
      <c r="D51" s="77">
        <f t="shared" si="1"/>
        <v>2015</v>
      </c>
      <c r="E51" s="78">
        <v>28324870.738095231</v>
      </c>
      <c r="F51" s="78">
        <v>958810.85714285716</v>
      </c>
      <c r="G51" s="78">
        <v>27366059.880952373</v>
      </c>
      <c r="H51" s="42">
        <v>5573507.9207597012</v>
      </c>
      <c r="I51" s="85">
        <v>33204761.904761914</v>
      </c>
      <c r="J51" s="78">
        <v>1048571.4285714285</v>
      </c>
      <c r="K51" s="78">
        <v>32156190.476190485</v>
      </c>
      <c r="L51" s="51">
        <v>6471020.9303670796</v>
      </c>
      <c r="M51" s="85">
        <v>18095238.095238097</v>
      </c>
      <c r="N51" s="78">
        <v>571428.57142857148</v>
      </c>
      <c r="O51" s="78">
        <v>17523809.523809526</v>
      </c>
      <c r="P51" s="51">
        <v>3526441.9239057652</v>
      </c>
      <c r="Q51" s="85">
        <v>1809523.8095238099</v>
      </c>
      <c r="R51" s="78">
        <v>57142.857142857145</v>
      </c>
      <c r="S51" s="78">
        <v>1752380.9523809529</v>
      </c>
      <c r="T51" s="51">
        <v>334317.13099236356</v>
      </c>
      <c r="U51" s="85">
        <v>1809523.8095238099</v>
      </c>
      <c r="V51" s="78">
        <v>57142.857142857145</v>
      </c>
      <c r="W51" s="78">
        <v>1752380.9523809529</v>
      </c>
      <c r="X51" s="51">
        <v>334317.13099236356</v>
      </c>
      <c r="Y51" s="85">
        <v>1809523.8095238099</v>
      </c>
      <c r="Z51" s="78">
        <v>57142.857142857145</v>
      </c>
      <c r="AA51" s="78">
        <v>1752380.9523809529</v>
      </c>
      <c r="AB51" s="51">
        <v>334317.13099236356</v>
      </c>
      <c r="AC51" s="85">
        <v>1828571.4285714289</v>
      </c>
      <c r="AD51" s="78">
        <v>57142.857142857145</v>
      </c>
      <c r="AE51" s="78">
        <v>1771428.5714285718</v>
      </c>
      <c r="AF51" s="51">
        <v>337329.8948385538</v>
      </c>
      <c r="AG51" s="85">
        <v>14741426.142857144</v>
      </c>
      <c r="AH51" s="78">
        <v>453582.34285714285</v>
      </c>
      <c r="AI51" s="78">
        <v>14287843.800000001</v>
      </c>
      <c r="AJ51" s="51">
        <v>2862919.7160888771</v>
      </c>
      <c r="AK51" s="85">
        <v>27434045.785714284</v>
      </c>
      <c r="AL51" s="78">
        <v>844124.48571428575</v>
      </c>
      <c r="AM51" s="78">
        <v>26589921.299999997</v>
      </c>
      <c r="AN51" s="51">
        <v>5327942.4806576883</v>
      </c>
      <c r="AO51" s="85">
        <v>54396800.714285709</v>
      </c>
      <c r="AP51" s="78">
        <v>1673747.7142857143</v>
      </c>
      <c r="AQ51" s="78">
        <v>52723052.999999993</v>
      </c>
      <c r="AR51" s="51">
        <v>10012958.381092364</v>
      </c>
      <c r="AS51" s="85">
        <v>4853600.1428571427</v>
      </c>
      <c r="AT51" s="78">
        <v>149341.54285714286</v>
      </c>
      <c r="AU51" s="78">
        <v>4704258.5999999996</v>
      </c>
      <c r="AV51" s="51">
        <v>893414.6051006536</v>
      </c>
      <c r="AW51" s="85">
        <v>18210724.542857144</v>
      </c>
      <c r="AX51" s="78">
        <v>543480.11428571434</v>
      </c>
      <c r="AY51" s="78">
        <v>17667244.428571429</v>
      </c>
      <c r="AZ51" s="51">
        <v>3522680.6766390959</v>
      </c>
      <c r="BA51" s="85">
        <v>51571153.856666662</v>
      </c>
      <c r="BB51" s="78">
        <v>1481495.7768571428</v>
      </c>
      <c r="BC51" s="78">
        <v>50089658.079809517</v>
      </c>
      <c r="BD51" s="51">
        <v>9404182.1007285137</v>
      </c>
      <c r="BE51" s="85">
        <v>8172728.0800000001</v>
      </c>
      <c r="BF51" s="48">
        <v>194588.76380952381</v>
      </c>
      <c r="BG51" s="78">
        <v>7978139.3161904765</v>
      </c>
      <c r="BH51" s="51">
        <v>1456491.8726231416</v>
      </c>
      <c r="BI51" s="85">
        <v>8100000</v>
      </c>
      <c r="BJ51" s="78">
        <v>257142.85714285713</v>
      </c>
      <c r="BK51" s="78">
        <v>7842857.1428571427</v>
      </c>
      <c r="BL51" s="51">
        <v>1189333.2546775527</v>
      </c>
      <c r="BM51" s="85">
        <v>38442857.142857142</v>
      </c>
      <c r="BN51" s="78">
        <v>1114285.7142857143</v>
      </c>
      <c r="BO51" s="78">
        <v>37328571.428571425</v>
      </c>
      <c r="BP51" s="51">
        <v>5551104.4916229816</v>
      </c>
      <c r="BQ51" s="85">
        <v>9200000</v>
      </c>
      <c r="BR51" s="78">
        <v>131428.57142857142</v>
      </c>
      <c r="BS51" s="78">
        <v>9068571.4285714291</v>
      </c>
      <c r="BT51" s="51">
        <v>1209305.5556818044</v>
      </c>
      <c r="BU51" s="79">
        <v>58341585.197760858</v>
      </c>
      <c r="BV51" s="82">
        <v>58341585.197760858</v>
      </c>
      <c r="BW51" s="38"/>
      <c r="BX51" s="81"/>
    </row>
    <row r="52" spans="1:78" hidden="1">
      <c r="A52">
        <v>37</v>
      </c>
      <c r="C52" s="37" t="str">
        <f t="shared" si="0"/>
        <v>Base FCR</v>
      </c>
      <c r="D52" s="77">
        <f t="shared" si="1"/>
        <v>2016</v>
      </c>
      <c r="E52" s="78">
        <v>27366059.880952373</v>
      </c>
      <c r="F52" s="78">
        <v>958810.85714285716</v>
      </c>
      <c r="G52" s="78">
        <v>26407249.023809515</v>
      </c>
      <c r="H52" s="42">
        <v>4840416.2817078773</v>
      </c>
      <c r="I52" s="85">
        <v>32156190.476190485</v>
      </c>
      <c r="J52" s="78">
        <v>1048571.4285714285</v>
      </c>
      <c r="K52" s="78">
        <v>31107619.047619056</v>
      </c>
      <c r="L52" s="51">
        <v>5621084.9354373254</v>
      </c>
      <c r="M52" s="85">
        <v>17523809.523809526</v>
      </c>
      <c r="N52" s="78">
        <v>571428.57142857148</v>
      </c>
      <c r="O52" s="78">
        <v>16952380.952380955</v>
      </c>
      <c r="P52" s="51">
        <v>3063261.5451974524</v>
      </c>
      <c r="Q52" s="85">
        <v>1752380.9523809529</v>
      </c>
      <c r="R52" s="78">
        <v>57142.857142857145</v>
      </c>
      <c r="S52" s="78">
        <v>1695238.0952380958</v>
      </c>
      <c r="T52" s="51">
        <v>306326.15451974527</v>
      </c>
      <c r="U52" s="85">
        <v>1752380.9523809529</v>
      </c>
      <c r="V52" s="78">
        <v>57142.857142857145</v>
      </c>
      <c r="W52" s="78">
        <v>1695238.0952380958</v>
      </c>
      <c r="X52" s="51">
        <v>306326.15451974527</v>
      </c>
      <c r="Y52" s="85">
        <v>1752380.9523809529</v>
      </c>
      <c r="Z52" s="78">
        <v>57142.857142857145</v>
      </c>
      <c r="AA52" s="78">
        <v>1695238.0952380958</v>
      </c>
      <c r="AB52" s="51">
        <v>306326.15451974527</v>
      </c>
      <c r="AC52" s="85">
        <v>1771428.5714285718</v>
      </c>
      <c r="AD52" s="78">
        <v>57142.857142857145</v>
      </c>
      <c r="AE52" s="78">
        <v>1714285.7142857148</v>
      </c>
      <c r="AF52" s="51">
        <v>309125.96684982267</v>
      </c>
      <c r="AG52" s="85">
        <v>14287843.800000001</v>
      </c>
      <c r="AH52" s="78">
        <v>453582.34285714285</v>
      </c>
      <c r="AI52" s="78">
        <v>13834261.457142858</v>
      </c>
      <c r="AJ52" s="51">
        <v>2487082.4726313516</v>
      </c>
      <c r="AK52" s="85">
        <v>26589921.299999997</v>
      </c>
      <c r="AL52" s="78">
        <v>844124.48571428575</v>
      </c>
      <c r="AM52" s="78">
        <v>25745796.81428571</v>
      </c>
      <c r="AN52" s="51">
        <v>4628502.9525502678</v>
      </c>
      <c r="AO52" s="85">
        <v>52723052.999999993</v>
      </c>
      <c r="AP52" s="78">
        <v>1673747.7142857143</v>
      </c>
      <c r="AQ52" s="78">
        <v>51049305.285714276</v>
      </c>
      <c r="AR52" s="51">
        <v>9177492.6192791797</v>
      </c>
      <c r="AS52" s="85">
        <v>4704258.5999999996</v>
      </c>
      <c r="AT52" s="78">
        <v>149341.54285714286</v>
      </c>
      <c r="AU52" s="78">
        <v>4554917.0571428565</v>
      </c>
      <c r="AV52" s="51">
        <v>818869.47215823422</v>
      </c>
      <c r="AW52" s="85">
        <v>17667244.428571429</v>
      </c>
      <c r="AX52" s="78">
        <v>543480.11428571434</v>
      </c>
      <c r="AY52" s="78">
        <v>17123764.314285714</v>
      </c>
      <c r="AZ52" s="51">
        <v>3060504.753670726</v>
      </c>
      <c r="BA52" s="85">
        <v>50089658.079809517</v>
      </c>
      <c r="BB52" s="78">
        <v>1481495.7768571428</v>
      </c>
      <c r="BC52" s="78">
        <v>48608162.302952372</v>
      </c>
      <c r="BD52" s="51">
        <v>8626416.7151631266</v>
      </c>
      <c r="BE52" s="85">
        <v>8428916.2361904755</v>
      </c>
      <c r="BF52" s="78">
        <v>246385.85714285713</v>
      </c>
      <c r="BG52" s="78">
        <v>8182530.3790476182</v>
      </c>
      <c r="BH52" s="51">
        <v>1449137.2030836015</v>
      </c>
      <c r="BI52" s="85">
        <v>7842857.1428571427</v>
      </c>
      <c r="BJ52" s="78">
        <v>257142.85714285713</v>
      </c>
      <c r="BK52" s="78">
        <v>7585714.2857142854</v>
      </c>
      <c r="BL52" s="51">
        <v>1158769.6350862514</v>
      </c>
      <c r="BM52" s="85">
        <v>37328571.428571425</v>
      </c>
      <c r="BN52" s="78">
        <v>1114285.7142857143</v>
      </c>
      <c r="BO52" s="78">
        <v>36214285.714285709</v>
      </c>
      <c r="BP52" s="51">
        <v>5418662.1400606753</v>
      </c>
      <c r="BQ52" s="85">
        <v>9068571.4285714291</v>
      </c>
      <c r="BR52" s="78">
        <v>262857.14285714284</v>
      </c>
      <c r="BS52" s="78">
        <v>8805714.2857142854</v>
      </c>
      <c r="BT52" s="51">
        <v>1309491.3159726008</v>
      </c>
      <c r="BU52" s="79">
        <v>52887796.472407736</v>
      </c>
      <c r="BV52" s="36"/>
      <c r="BW52" s="80">
        <v>52887796.472407736</v>
      </c>
      <c r="BX52" s="81"/>
      <c r="BY52" s="81"/>
    </row>
    <row r="53" spans="1:78" hidden="1">
      <c r="A53">
        <v>38</v>
      </c>
      <c r="C53" s="37" t="str">
        <f t="shared" si="0"/>
        <v>W Increased ROE</v>
      </c>
      <c r="D53" s="77">
        <f t="shared" si="1"/>
        <v>2016</v>
      </c>
      <c r="E53" s="78">
        <v>27366059.880952373</v>
      </c>
      <c r="F53" s="78">
        <v>958810.85714285716</v>
      </c>
      <c r="G53" s="78">
        <v>26407249.023809515</v>
      </c>
      <c r="H53" s="42">
        <v>5095128.4630050119</v>
      </c>
      <c r="I53" s="85">
        <v>32156190.476190485</v>
      </c>
      <c r="J53" s="78">
        <v>1048571.4285714285</v>
      </c>
      <c r="K53" s="78">
        <v>31107619.047619056</v>
      </c>
      <c r="L53" s="51">
        <v>5921134.7246234417</v>
      </c>
      <c r="M53" s="85">
        <v>17523809.523809526</v>
      </c>
      <c r="N53" s="78">
        <v>571428.57142857148</v>
      </c>
      <c r="O53" s="78">
        <v>16952380.952380955</v>
      </c>
      <c r="P53" s="51">
        <v>3226776.4166885237</v>
      </c>
      <c r="Q53" s="85">
        <v>1752380.9523809529</v>
      </c>
      <c r="R53" s="78">
        <v>57142.857142857145</v>
      </c>
      <c r="S53" s="78">
        <v>1695238.0952380958</v>
      </c>
      <c r="T53" s="51">
        <v>306326.15451974527</v>
      </c>
      <c r="U53" s="85">
        <v>1752380.9523809529</v>
      </c>
      <c r="V53" s="78">
        <v>57142.857142857145</v>
      </c>
      <c r="W53" s="78">
        <v>1695238.0952380958</v>
      </c>
      <c r="X53" s="51">
        <v>306326.15451974527</v>
      </c>
      <c r="Y53" s="85">
        <v>1752380.9523809529</v>
      </c>
      <c r="Z53" s="78">
        <v>57142.857142857145</v>
      </c>
      <c r="AA53" s="78">
        <v>1695238.0952380958</v>
      </c>
      <c r="AB53" s="51">
        <v>306326.15451974527</v>
      </c>
      <c r="AC53" s="85">
        <v>1771428.5714285718</v>
      </c>
      <c r="AD53" s="78">
        <v>57142.857142857145</v>
      </c>
      <c r="AE53" s="78">
        <v>1714285.7142857148</v>
      </c>
      <c r="AF53" s="51">
        <v>309125.96684982267</v>
      </c>
      <c r="AG53" s="85">
        <v>14287843.800000001</v>
      </c>
      <c r="AH53" s="78">
        <v>453582.34285714285</v>
      </c>
      <c r="AI53" s="78">
        <v>13834261.457142858</v>
      </c>
      <c r="AJ53" s="51">
        <v>2620521.397269303</v>
      </c>
      <c r="AK53" s="85">
        <v>26589921.299999997</v>
      </c>
      <c r="AL53" s="78">
        <v>844124.48571428575</v>
      </c>
      <c r="AM53" s="78">
        <v>25745796.81428571</v>
      </c>
      <c r="AN53" s="51">
        <v>4876835.0699884323</v>
      </c>
      <c r="AO53" s="85">
        <v>52723052.999999993</v>
      </c>
      <c r="AP53" s="78">
        <v>1673747.7142857143</v>
      </c>
      <c r="AQ53" s="78">
        <v>51049305.285714276</v>
      </c>
      <c r="AR53" s="51">
        <v>9177492.6192791797</v>
      </c>
      <c r="AS53" s="85">
        <v>4704258.5999999996</v>
      </c>
      <c r="AT53" s="78">
        <v>149341.54285714286</v>
      </c>
      <c r="AU53" s="78">
        <v>4554917.0571428565</v>
      </c>
      <c r="AV53" s="51">
        <v>818869.47215823422</v>
      </c>
      <c r="AW53" s="85">
        <v>17667244.428571429</v>
      </c>
      <c r="AX53" s="78">
        <v>543480.11428571434</v>
      </c>
      <c r="AY53" s="78">
        <v>17123764.314285714</v>
      </c>
      <c r="AZ53" s="51">
        <v>3225672.7102639014</v>
      </c>
      <c r="BA53" s="85">
        <v>50089658.079809517</v>
      </c>
      <c r="BB53" s="78">
        <v>1481495.7768571428</v>
      </c>
      <c r="BC53" s="78">
        <v>48608162.302952372</v>
      </c>
      <c r="BD53" s="51">
        <v>8626416.7151631266</v>
      </c>
      <c r="BE53" s="85">
        <v>8428916.2361904755</v>
      </c>
      <c r="BF53" s="78">
        <v>246385.85714285713</v>
      </c>
      <c r="BG53" s="78">
        <v>8182530.3790476182</v>
      </c>
      <c r="BH53" s="51">
        <v>1449137.2030836015</v>
      </c>
      <c r="BI53" s="85">
        <v>7842857.1428571427</v>
      </c>
      <c r="BJ53" s="78">
        <v>257142.85714285713</v>
      </c>
      <c r="BK53" s="78">
        <v>7585714.2857142854</v>
      </c>
      <c r="BL53" s="51">
        <v>1158769.6350862514</v>
      </c>
      <c r="BM53" s="85">
        <v>37328571.428571425</v>
      </c>
      <c r="BN53" s="78">
        <v>1114285.7142857143</v>
      </c>
      <c r="BO53" s="78">
        <v>36214285.714285709</v>
      </c>
      <c r="BP53" s="51">
        <v>5418662.1400606753</v>
      </c>
      <c r="BQ53" s="85">
        <v>9068571.4285714291</v>
      </c>
      <c r="BR53" s="78">
        <v>262857.14285714284</v>
      </c>
      <c r="BS53" s="78">
        <v>8805714.2857142854</v>
      </c>
      <c r="BT53" s="51">
        <v>1309491.3159726008</v>
      </c>
      <c r="BU53" s="79">
        <v>54153012.313051358</v>
      </c>
      <c r="BV53" s="82">
        <v>54153012.313051358</v>
      </c>
      <c r="BW53" s="38"/>
      <c r="BX53" s="81"/>
    </row>
    <row r="54" spans="1:78" hidden="1">
      <c r="A54">
        <v>39</v>
      </c>
      <c r="C54" s="37" t="s">
        <v>45</v>
      </c>
      <c r="D54" s="77">
        <v>2017</v>
      </c>
      <c r="E54" s="78">
        <v>26407249.023809515</v>
      </c>
      <c r="F54" s="78">
        <v>958810.85714285716</v>
      </c>
      <c r="G54" s="78">
        <v>25448438.166666657</v>
      </c>
      <c r="H54" s="42">
        <v>4705055.4246930825</v>
      </c>
      <c r="I54" s="85">
        <v>31107619.047619056</v>
      </c>
      <c r="J54" s="78">
        <v>1048571.4285714285</v>
      </c>
      <c r="K54" s="78">
        <v>30059047.619047627</v>
      </c>
      <c r="L54" s="51">
        <v>5473540.1874043271</v>
      </c>
      <c r="M54" s="85">
        <v>16952380.952380955</v>
      </c>
      <c r="N54" s="78">
        <v>571428.57142857148</v>
      </c>
      <c r="O54" s="78">
        <v>16380952.380952384</v>
      </c>
      <c r="P54" s="51">
        <v>2982855.6879587611</v>
      </c>
      <c r="Q54" s="85">
        <v>1695238.0952380958</v>
      </c>
      <c r="R54" s="78">
        <v>57142.857142857145</v>
      </c>
      <c r="S54" s="78">
        <v>1638095.2380952388</v>
      </c>
      <c r="T54" s="51">
        <v>298285.56879587617</v>
      </c>
      <c r="U54" s="85">
        <v>1695238.0952380958</v>
      </c>
      <c r="V54" s="78">
        <v>57142.857142857145</v>
      </c>
      <c r="W54" s="78">
        <v>1638095.2380952388</v>
      </c>
      <c r="X54" s="51">
        <v>298285.56879587617</v>
      </c>
      <c r="Y54" s="85">
        <v>1695238.0952380958</v>
      </c>
      <c r="Z54" s="78">
        <v>57142.857142857145</v>
      </c>
      <c r="AA54" s="78">
        <v>1638095.2380952388</v>
      </c>
      <c r="AB54" s="51">
        <v>298285.56879587617</v>
      </c>
      <c r="AC54" s="85">
        <v>1714285.7142857148</v>
      </c>
      <c r="AD54" s="78">
        <v>57142.857142857145</v>
      </c>
      <c r="AE54" s="78">
        <v>1657142.8571428577</v>
      </c>
      <c r="AF54" s="51">
        <v>301089.55381509732</v>
      </c>
      <c r="AG54" s="85">
        <v>13834261.457142858</v>
      </c>
      <c r="AH54" s="78">
        <v>453582.34285714285</v>
      </c>
      <c r="AI54" s="78">
        <v>13380679.114285715</v>
      </c>
      <c r="AJ54" s="51">
        <v>2423341.5914889229</v>
      </c>
      <c r="AK54" s="85">
        <v>25745796.81428571</v>
      </c>
      <c r="AL54" s="78">
        <v>844124.48571428575</v>
      </c>
      <c r="AM54" s="78">
        <v>24901672.328571424</v>
      </c>
      <c r="AN54" s="51">
        <v>4509880.0842648633</v>
      </c>
      <c r="AO54" s="85">
        <v>51049305.285714276</v>
      </c>
      <c r="AP54" s="78">
        <v>1673747.7142857143</v>
      </c>
      <c r="AQ54" s="78">
        <v>49375557.57142856</v>
      </c>
      <c r="AR54" s="51">
        <v>8942284.7109495141</v>
      </c>
      <c r="AS54" s="85">
        <v>4554917.0571428565</v>
      </c>
      <c r="AT54" s="78">
        <v>149341.54285714286</v>
      </c>
      <c r="AU54" s="78">
        <v>4405575.5142857134</v>
      </c>
      <c r="AV54" s="51">
        <v>797882.84937013732</v>
      </c>
      <c r="AW54" s="85">
        <v>17123764.314285714</v>
      </c>
      <c r="AX54" s="78">
        <v>543480.11428571434</v>
      </c>
      <c r="AY54" s="78">
        <v>16580284.199999999</v>
      </c>
      <c r="AZ54" s="51">
        <v>2984250.7111252439</v>
      </c>
      <c r="BA54" s="85">
        <v>48608162.302952372</v>
      </c>
      <c r="BB54" s="78">
        <v>1481495.7768571428</v>
      </c>
      <c r="BC54" s="78">
        <v>47126666.526095226</v>
      </c>
      <c r="BD54" s="51">
        <v>8418975.2914697416</v>
      </c>
      <c r="BE54" s="85">
        <v>8182530.3790476182</v>
      </c>
      <c r="BF54" s="78">
        <v>246385.85714285713</v>
      </c>
      <c r="BG54" s="78">
        <v>7936144.521904761</v>
      </c>
      <c r="BH54" s="51">
        <v>1414659.4505070918</v>
      </c>
      <c r="BI54" s="85">
        <v>7585714.2857142854</v>
      </c>
      <c r="BJ54" s="78">
        <v>257142.85714285713</v>
      </c>
      <c r="BK54" s="78">
        <v>7328571.4285714282</v>
      </c>
      <c r="BL54" s="51">
        <v>1128206.0154949499</v>
      </c>
      <c r="BM54" s="85">
        <v>36214285.714285709</v>
      </c>
      <c r="BN54" s="891">
        <v>1114285.7142857143</v>
      </c>
      <c r="BO54" s="891">
        <v>35099999.999999993</v>
      </c>
      <c r="BP54" s="60">
        <v>5286219.7884983681</v>
      </c>
      <c r="BQ54" s="85">
        <v>8805714.2857142854</v>
      </c>
      <c r="BR54" s="78">
        <v>262857.14285714284</v>
      </c>
      <c r="BS54" s="78">
        <v>8542857.1428571418</v>
      </c>
      <c r="BT54" s="51">
        <v>1278248.5048348259</v>
      </c>
      <c r="BU54" s="79">
        <v>51541346.558262549</v>
      </c>
      <c r="BV54" s="36"/>
      <c r="BW54" s="80">
        <v>51541346.558262549</v>
      </c>
    </row>
    <row r="55" spans="1:78" hidden="1">
      <c r="A55">
        <v>40</v>
      </c>
      <c r="C55" s="37" t="s">
        <v>62</v>
      </c>
      <c r="D55" s="77">
        <v>2017</v>
      </c>
      <c r="E55" s="78">
        <v>26407249.023809515</v>
      </c>
      <c r="F55" s="78">
        <v>958810.85714285716</v>
      </c>
      <c r="G55" s="78">
        <v>25448438.166666657</v>
      </c>
      <c r="H55" s="42">
        <v>4940963.1853444688</v>
      </c>
      <c r="I55" s="85">
        <v>31107619.047619056</v>
      </c>
      <c r="J55" s="78">
        <v>1048571.4285714285</v>
      </c>
      <c r="K55" s="78">
        <v>30059047.619047627</v>
      </c>
      <c r="L55" s="51">
        <v>5752188.4315394498</v>
      </c>
      <c r="M55" s="85">
        <v>16952380.952380955</v>
      </c>
      <c r="N55" s="78">
        <v>571428.57142857148</v>
      </c>
      <c r="O55" s="78">
        <v>16380952.380952384</v>
      </c>
      <c r="P55" s="51">
        <v>3134707.5921195913</v>
      </c>
      <c r="Q55" s="85">
        <v>1695238.0952380958</v>
      </c>
      <c r="R55" s="78">
        <v>57142.857142857145</v>
      </c>
      <c r="S55" s="78">
        <v>1638095.2380952388</v>
      </c>
      <c r="T55" s="51">
        <v>298285.56879587617</v>
      </c>
      <c r="U55" s="85">
        <v>1695238.0952380958</v>
      </c>
      <c r="V55" s="78">
        <v>57142.857142857145</v>
      </c>
      <c r="W55" s="78">
        <v>1638095.2380952388</v>
      </c>
      <c r="X55" s="51">
        <v>298285.56879587617</v>
      </c>
      <c r="Y55" s="85">
        <v>1695238.0952380958</v>
      </c>
      <c r="Z55" s="78">
        <v>57142.857142857145</v>
      </c>
      <c r="AA55" s="78">
        <v>1638095.2380952388</v>
      </c>
      <c r="AB55" s="51">
        <v>298285.56879587617</v>
      </c>
      <c r="AC55" s="85">
        <v>1714285.7142857148</v>
      </c>
      <c r="AD55" s="78">
        <v>57142.857142857145</v>
      </c>
      <c r="AE55" s="78">
        <v>1657142.8571428577</v>
      </c>
      <c r="AF55" s="51">
        <v>301089.55381509732</v>
      </c>
      <c r="AG55" s="85">
        <v>13834261.457142858</v>
      </c>
      <c r="AH55" s="78">
        <v>453582.34285714285</v>
      </c>
      <c r="AI55" s="78">
        <v>13380679.114285715</v>
      </c>
      <c r="AJ55" s="51">
        <v>2547380.8753605974</v>
      </c>
      <c r="AK55" s="85">
        <v>25745796.81428571</v>
      </c>
      <c r="AL55" s="78">
        <v>844124.48571428575</v>
      </c>
      <c r="AM55" s="78">
        <v>24901672.328571424</v>
      </c>
      <c r="AN55" s="51">
        <v>4740719.3097228138</v>
      </c>
      <c r="AO55" s="85">
        <v>51049305.285714276</v>
      </c>
      <c r="AP55" s="78">
        <v>1673747.7142857143</v>
      </c>
      <c r="AQ55" s="78">
        <v>49375557.57142856</v>
      </c>
      <c r="AR55" s="51">
        <v>8942284.7109495141</v>
      </c>
      <c r="AS55" s="85">
        <v>4554917.0571428565</v>
      </c>
      <c r="AT55" s="78">
        <v>149341.54285714286</v>
      </c>
      <c r="AU55" s="78">
        <v>4405575.5142857134</v>
      </c>
      <c r="AV55" s="51">
        <v>797882.84937013732</v>
      </c>
      <c r="AW55" s="85">
        <v>17123764.314285714</v>
      </c>
      <c r="AX55" s="78">
        <v>543480.11428571434</v>
      </c>
      <c r="AY55" s="78">
        <v>16580284.199999999</v>
      </c>
      <c r="AZ55" s="51">
        <v>3137950.4270358607</v>
      </c>
      <c r="BA55" s="85">
        <v>48608162.302952372</v>
      </c>
      <c r="BB55" s="78">
        <v>1481495.7768571428</v>
      </c>
      <c r="BC55" s="78">
        <v>47126666.526095226</v>
      </c>
      <c r="BD55" s="51">
        <v>8418975.2914697416</v>
      </c>
      <c r="BE55" s="85">
        <v>8182530.3790476182</v>
      </c>
      <c r="BF55" s="78">
        <v>246385.85714285713</v>
      </c>
      <c r="BG55" s="78">
        <v>7936144.521904761</v>
      </c>
      <c r="BH55" s="51">
        <v>1414659.4505070918</v>
      </c>
      <c r="BI55" s="85">
        <v>7585714.2857142854</v>
      </c>
      <c r="BJ55" s="78">
        <v>257142.85714285713</v>
      </c>
      <c r="BK55" s="78">
        <v>7328571.4285714282</v>
      </c>
      <c r="BL55" s="51">
        <v>1128206.0154949499</v>
      </c>
      <c r="BM55" s="85">
        <v>36214285.714285709</v>
      </c>
      <c r="BN55" s="78">
        <v>1114285.7142857143</v>
      </c>
      <c r="BO55" s="78">
        <v>35099999.999999993</v>
      </c>
      <c r="BP55" s="51">
        <v>5286219.7884983681</v>
      </c>
      <c r="BQ55" s="85">
        <v>8805714.2857142854</v>
      </c>
      <c r="BR55" s="78">
        <v>262857.14285714284</v>
      </c>
      <c r="BS55" s="78">
        <v>8542857.1428571418</v>
      </c>
      <c r="BT55" s="51">
        <v>1278248.5048348259</v>
      </c>
      <c r="BU55" s="79">
        <v>52716332.692450128</v>
      </c>
      <c r="BV55" s="82">
        <v>52716332.692450128</v>
      </c>
      <c r="BW55" s="38"/>
    </row>
    <row r="56" spans="1:78" hidden="1">
      <c r="A56">
        <v>41</v>
      </c>
      <c r="C56" s="37" t="str">
        <f t="shared" si="0"/>
        <v>Base FCR</v>
      </c>
      <c r="D56" s="77">
        <f t="shared" si="1"/>
        <v>2018</v>
      </c>
      <c r="E56" s="78">
        <v>25448438.166666657</v>
      </c>
      <c r="F56" s="78">
        <v>958810.85714285716</v>
      </c>
      <c r="G56" s="78">
        <v>24489627.309523799</v>
      </c>
      <c r="H56" s="42">
        <v>4044506.3895536489</v>
      </c>
      <c r="I56" s="85">
        <v>30059047.619047627</v>
      </c>
      <c r="J56" s="78">
        <v>1048571.4285714285</v>
      </c>
      <c r="K56" s="78">
        <v>29010476.190476198</v>
      </c>
      <c r="L56" s="51">
        <v>4703894.379903133</v>
      </c>
      <c r="M56" s="85">
        <v>16380952.380952384</v>
      </c>
      <c r="N56" s="78">
        <v>571428.57142857148</v>
      </c>
      <c r="O56" s="78">
        <v>15809523.809523813</v>
      </c>
      <c r="P56" s="51">
        <v>2563430.1797837238</v>
      </c>
      <c r="Q56" s="85">
        <v>1638095.2380952388</v>
      </c>
      <c r="R56" s="78">
        <v>57142.857142857145</v>
      </c>
      <c r="S56" s="78">
        <v>1580952.3809523818</v>
      </c>
      <c r="T56" s="51">
        <v>256343.01797837246</v>
      </c>
      <c r="U56" s="85">
        <v>1638095.2380952388</v>
      </c>
      <c r="V56" s="78">
        <v>57142.857142857145</v>
      </c>
      <c r="W56" s="78">
        <v>1580952.3809523818</v>
      </c>
      <c r="X56" s="51">
        <v>256343.01797837246</v>
      </c>
      <c r="Y56" s="85">
        <v>1638095.2380952388</v>
      </c>
      <c r="Z56" s="78">
        <v>57142.857142857145</v>
      </c>
      <c r="AA56" s="78">
        <v>1580952.3809523818</v>
      </c>
      <c r="AB56" s="51">
        <v>256343.01797837246</v>
      </c>
      <c r="AC56" s="85">
        <v>1657142.8571428577</v>
      </c>
      <c r="AD56" s="78">
        <v>57142.857142857145</v>
      </c>
      <c r="AE56" s="78">
        <v>1600000.0000000007</v>
      </c>
      <c r="AF56" s="51">
        <v>258743.01991614973</v>
      </c>
      <c r="AG56" s="85">
        <v>13380679.114285715</v>
      </c>
      <c r="AH56" s="78">
        <v>453582.34285714285</v>
      </c>
      <c r="AI56" s="78">
        <v>12927096.771428572</v>
      </c>
      <c r="AJ56" s="51">
        <v>2082397.8511734579</v>
      </c>
      <c r="AK56" s="85">
        <v>24901672.328571424</v>
      </c>
      <c r="AL56" s="78">
        <v>844124.48571428575</v>
      </c>
      <c r="AM56" s="78">
        <v>24057547.842857137</v>
      </c>
      <c r="AN56" s="51">
        <v>3875377.9613682046</v>
      </c>
      <c r="AO56" s="85">
        <v>49375557.57142856</v>
      </c>
      <c r="AP56" s="78">
        <v>1673747.7142857143</v>
      </c>
      <c r="AQ56" s="78">
        <v>47701809.857142843</v>
      </c>
      <c r="AR56" s="51">
        <v>7684180.6091486178</v>
      </c>
      <c r="AS56" s="85">
        <v>4405575.5142857134</v>
      </c>
      <c r="AT56" s="78">
        <v>149341.54285714286</v>
      </c>
      <c r="AU56" s="78">
        <v>4256233.9714285703</v>
      </c>
      <c r="AV56" s="51">
        <v>685627.45625790348</v>
      </c>
      <c r="AW56" s="85">
        <v>16580284.199999999</v>
      </c>
      <c r="AX56" s="78">
        <v>543480.11428571434</v>
      </c>
      <c r="AY56" s="78">
        <v>16036804.085714284</v>
      </c>
      <c r="AZ56" s="51">
        <v>2564119.0605628407</v>
      </c>
      <c r="BA56" s="85">
        <v>47126666.526095226</v>
      </c>
      <c r="BB56" s="78">
        <v>1481495.7768571428</v>
      </c>
      <c r="BC56" s="78">
        <v>45645170.749238081</v>
      </c>
      <c r="BD56" s="51">
        <v>7232791.9348953459</v>
      </c>
      <c r="BE56" s="85">
        <v>7936144.521904761</v>
      </c>
      <c r="BF56" s="78">
        <v>246385.85714285713</v>
      </c>
      <c r="BG56" s="78">
        <v>7689758.6647619037</v>
      </c>
      <c r="BH56" s="51">
        <v>1215296.2312074422</v>
      </c>
      <c r="BI56" s="85">
        <v>7328571.4285714282</v>
      </c>
      <c r="BJ56" s="78">
        <v>257142.85714285713</v>
      </c>
      <c r="BK56" s="78">
        <v>7071428.5714285709</v>
      </c>
      <c r="BL56" s="51">
        <v>1097642.3959036483</v>
      </c>
      <c r="BM56" s="85">
        <v>35099999.999999993</v>
      </c>
      <c r="BN56" s="78">
        <v>1114285.7142857143</v>
      </c>
      <c r="BO56" s="78">
        <v>33985714.285714276</v>
      </c>
      <c r="BP56" s="51">
        <v>5153777.4369360618</v>
      </c>
      <c r="BQ56" s="85">
        <v>8542857.1428571418</v>
      </c>
      <c r="BR56" s="891">
        <v>262857.14285714284</v>
      </c>
      <c r="BS56" s="891">
        <v>8279999.9999999991</v>
      </c>
      <c r="BT56" s="60">
        <v>1247005.6936970511</v>
      </c>
      <c r="BU56" s="79">
        <v>45177819.654242352</v>
      </c>
      <c r="BV56" s="36"/>
      <c r="BW56" s="80">
        <v>45177819.654242352</v>
      </c>
    </row>
    <row r="57" spans="1:78" hidden="1">
      <c r="A57">
        <v>42</v>
      </c>
      <c r="C57" s="37" t="str">
        <f t="shared" si="0"/>
        <v>W Increased ROE</v>
      </c>
      <c r="D57" s="77">
        <f t="shared" si="1"/>
        <v>2018</v>
      </c>
      <c r="E57" s="78">
        <v>25448438.166666657</v>
      </c>
      <c r="F57" s="78">
        <v>958810.85714285716</v>
      </c>
      <c r="G57" s="78">
        <v>24489627.309523799</v>
      </c>
      <c r="H57" s="42">
        <v>4235158.9367110161</v>
      </c>
      <c r="I57" s="85">
        <v>30059047.619047627</v>
      </c>
      <c r="J57" s="78">
        <v>1048571.4285714285</v>
      </c>
      <c r="K57" s="78">
        <v>29010476.190476198</v>
      </c>
      <c r="L57" s="51">
        <v>4929741.8830136247</v>
      </c>
      <c r="M57" s="85">
        <v>16380952.380952384</v>
      </c>
      <c r="N57" s="78">
        <v>571428.57142857148</v>
      </c>
      <c r="O57" s="78">
        <v>15809523.809523813</v>
      </c>
      <c r="P57" s="51">
        <v>2686507.8381545637</v>
      </c>
      <c r="Q57" s="85">
        <v>1638095.2380952388</v>
      </c>
      <c r="R57" s="78">
        <v>57142.857142857145</v>
      </c>
      <c r="S57" s="78">
        <v>1580952.3809523818</v>
      </c>
      <c r="T57" s="51">
        <v>256343.01797837246</v>
      </c>
      <c r="U57" s="85">
        <v>1638095.2380952388</v>
      </c>
      <c r="V57" s="78">
        <v>57142.857142857145</v>
      </c>
      <c r="W57" s="78">
        <v>1580952.3809523818</v>
      </c>
      <c r="X57" s="51">
        <v>256343.01797837246</v>
      </c>
      <c r="Y57" s="85">
        <v>1638095.2380952388</v>
      </c>
      <c r="Z57" s="78">
        <v>57142.857142857145</v>
      </c>
      <c r="AA57" s="78">
        <v>1580952.3809523818</v>
      </c>
      <c r="AB57" s="51">
        <v>256343.01797837246</v>
      </c>
      <c r="AC57" s="85">
        <v>1657142.8571428577</v>
      </c>
      <c r="AD57" s="78">
        <v>57142.857142857145</v>
      </c>
      <c r="AE57" s="78">
        <v>1600000.0000000007</v>
      </c>
      <c r="AF57" s="51">
        <v>258743.01991614973</v>
      </c>
      <c r="AG57" s="85">
        <v>13380679.114285715</v>
      </c>
      <c r="AH57" s="78">
        <v>453582.34285714285</v>
      </c>
      <c r="AI57" s="78">
        <v>12927096.771428572</v>
      </c>
      <c r="AJ57" s="51">
        <v>2183035.7210631389</v>
      </c>
      <c r="AK57" s="85">
        <v>24901672.328571424</v>
      </c>
      <c r="AL57" s="78">
        <v>844124.48571428575</v>
      </c>
      <c r="AM57" s="78">
        <v>24057547.842857137</v>
      </c>
      <c r="AN57" s="51">
        <v>4062666.7557884138</v>
      </c>
      <c r="AO57" s="85">
        <v>49375557.57142856</v>
      </c>
      <c r="AP57" s="78">
        <v>1673747.7142857143</v>
      </c>
      <c r="AQ57" s="78">
        <v>47701809.857142843</v>
      </c>
      <c r="AR57" s="51">
        <v>7684180.6091486178</v>
      </c>
      <c r="AS57" s="85">
        <v>4405575.5142857134</v>
      </c>
      <c r="AT57" s="78">
        <v>149341.54285714286</v>
      </c>
      <c r="AU57" s="78">
        <v>4256233.9714285703</v>
      </c>
      <c r="AV57" s="51">
        <v>685627.45625790348</v>
      </c>
      <c r="AW57" s="85">
        <v>16580284.199999999</v>
      </c>
      <c r="AX57" s="78">
        <v>543480.11428571434</v>
      </c>
      <c r="AY57" s="78">
        <v>16036804.085714284</v>
      </c>
      <c r="AZ57" s="51">
        <v>2688966.1032949318</v>
      </c>
      <c r="BA57" s="85">
        <v>47126666.526095226</v>
      </c>
      <c r="BB57" s="78">
        <v>1481495.7768571428</v>
      </c>
      <c r="BC57" s="78">
        <v>45645170.749238081</v>
      </c>
      <c r="BD57" s="51">
        <v>7232791.9348953459</v>
      </c>
      <c r="BE57" s="85">
        <v>7936144.521904761</v>
      </c>
      <c r="BF57" s="78">
        <v>246385.85714285713</v>
      </c>
      <c r="BG57" s="78">
        <v>7689758.6647619037</v>
      </c>
      <c r="BH57" s="51">
        <v>1215296.2312074422</v>
      </c>
      <c r="BI57" s="85">
        <v>7328571.4285714282</v>
      </c>
      <c r="BJ57" s="78">
        <v>257142.85714285713</v>
      </c>
      <c r="BK57" s="78">
        <v>7071428.5714285709</v>
      </c>
      <c r="BL57" s="51">
        <v>1097642.3959036483</v>
      </c>
      <c r="BM57" s="85">
        <v>35099999.999999993</v>
      </c>
      <c r="BN57" s="78">
        <v>1114285.7142857143</v>
      </c>
      <c r="BO57" s="78">
        <v>33985714.285714276</v>
      </c>
      <c r="BP57" s="51">
        <v>5153777.4369360618</v>
      </c>
      <c r="BQ57" s="85">
        <v>8542857.1428571418</v>
      </c>
      <c r="BR57" s="78">
        <v>262857.14285714284</v>
      </c>
      <c r="BS57" s="78">
        <v>8279999.9999999991</v>
      </c>
      <c r="BT57" s="51">
        <v>1247005.6936970511</v>
      </c>
      <c r="BU57" s="79">
        <v>46130171.069923028</v>
      </c>
      <c r="BV57" s="82">
        <v>46130171.069923028</v>
      </c>
      <c r="BW57" s="38"/>
      <c r="BY57" s="81"/>
    </row>
    <row r="58" spans="1:78" hidden="1">
      <c r="A58">
        <v>43</v>
      </c>
      <c r="C58" s="37" t="str">
        <f t="shared" si="0"/>
        <v>Base FCR</v>
      </c>
      <c r="D58" s="77">
        <f t="shared" si="1"/>
        <v>2019</v>
      </c>
      <c r="E58" s="78">
        <v>24489627.309523799</v>
      </c>
      <c r="F58" s="78">
        <v>958810.85714285716</v>
      </c>
      <c r="G58" s="78">
        <v>23530816.45238094</v>
      </c>
      <c r="H58" s="42">
        <v>3755648.8899557288</v>
      </c>
      <c r="I58" s="85">
        <v>29010476.190476198</v>
      </c>
      <c r="J58" s="78">
        <v>1048571.4285714285</v>
      </c>
      <c r="K58" s="78">
        <v>27961904.761904769</v>
      </c>
      <c r="L58" s="51">
        <v>4372082.0626477702</v>
      </c>
      <c r="M58" s="85">
        <v>15809523.809523813</v>
      </c>
      <c r="N58" s="78">
        <v>571428.57142857148</v>
      </c>
      <c r="O58" s="78">
        <v>15238095.238095243</v>
      </c>
      <c r="P58" s="51">
        <v>2382606.028690883</v>
      </c>
      <c r="Q58" s="85">
        <v>1580952.3809523818</v>
      </c>
      <c r="R58" s="78">
        <v>57142.857142857145</v>
      </c>
      <c r="S58" s="78">
        <v>1523809.5238095247</v>
      </c>
      <c r="T58" s="51">
        <v>238260.60286908835</v>
      </c>
      <c r="U58" s="85">
        <v>1580952.3809523818</v>
      </c>
      <c r="V58" s="78">
        <v>57142.857142857145</v>
      </c>
      <c r="W58" s="78">
        <v>1523809.5238095247</v>
      </c>
      <c r="X58" s="51">
        <v>238260.60286908835</v>
      </c>
      <c r="Y58" s="85">
        <v>1580952.3809523818</v>
      </c>
      <c r="Z58" s="78">
        <v>57142.857142857145</v>
      </c>
      <c r="AA58" s="78">
        <v>1523809.5238095247</v>
      </c>
      <c r="AB58" s="51">
        <v>238260.60286908835</v>
      </c>
      <c r="AC58" s="85">
        <v>1600000.0000000007</v>
      </c>
      <c r="AD58" s="78">
        <v>57142.857142857145</v>
      </c>
      <c r="AE58" s="78">
        <v>1542857.1428571437</v>
      </c>
      <c r="AF58" s="51">
        <v>240524.57469066622</v>
      </c>
      <c r="AG58" s="85">
        <v>12927096.771428572</v>
      </c>
      <c r="AH58" s="78">
        <v>453582.34285714285</v>
      </c>
      <c r="AI58" s="78">
        <v>12473514.428571429</v>
      </c>
      <c r="AJ58" s="51">
        <v>1936165.8149295172</v>
      </c>
      <c r="AK58" s="85">
        <v>24057547.842857137</v>
      </c>
      <c r="AL58" s="78">
        <v>844124.48571428575</v>
      </c>
      <c r="AM58" s="78">
        <v>23213423.357142851</v>
      </c>
      <c r="AN58" s="51">
        <v>3603237.6447680797</v>
      </c>
      <c r="AO58" s="85">
        <v>47701809.857142843</v>
      </c>
      <c r="AP58" s="78">
        <v>1673747.7142857143</v>
      </c>
      <c r="AQ58" s="78">
        <v>46028062.142857127</v>
      </c>
      <c r="AR58" s="51">
        <v>7144575.088182102</v>
      </c>
      <c r="AS58" s="85">
        <v>4256233.9714285703</v>
      </c>
      <c r="AT58" s="78">
        <v>149341.54285714286</v>
      </c>
      <c r="AU58" s="78">
        <v>4106892.4285714272</v>
      </c>
      <c r="AV58" s="51">
        <v>637480.70131535083</v>
      </c>
      <c r="AW58" s="85">
        <v>16036804.085714284</v>
      </c>
      <c r="AX58" s="78">
        <v>543480.11428571434</v>
      </c>
      <c r="AY58" s="78">
        <v>15493323.971428569</v>
      </c>
      <c r="AZ58" s="51">
        <v>2384993.6812150185</v>
      </c>
      <c r="BA58" s="85">
        <v>45645170.749238081</v>
      </c>
      <c r="BB58" s="78">
        <v>1481495.7768571428</v>
      </c>
      <c r="BC58" s="78">
        <v>44163674.972380936</v>
      </c>
      <c r="BD58" s="51">
        <v>6730724.8497838844</v>
      </c>
      <c r="BE58" s="85">
        <v>7689758.6647619037</v>
      </c>
      <c r="BF58" s="78">
        <v>246385.85714285713</v>
      </c>
      <c r="BG58" s="78">
        <v>7443372.8076190464</v>
      </c>
      <c r="BH58" s="51">
        <v>1131094.1375751595</v>
      </c>
      <c r="BI58" s="85">
        <v>7071428.5714285709</v>
      </c>
      <c r="BJ58" s="78">
        <v>257142.85714285713</v>
      </c>
      <c r="BK58" s="78">
        <v>6814285.7142857136</v>
      </c>
      <c r="BL58" s="51">
        <v>1067078.7763123468</v>
      </c>
      <c r="BM58" s="85">
        <v>33985714.285714276</v>
      </c>
      <c r="BN58" s="78">
        <v>1114285.7142857143</v>
      </c>
      <c r="BO58" s="78">
        <v>32871428.571428563</v>
      </c>
      <c r="BP58" s="51">
        <v>5021335.0853737546</v>
      </c>
      <c r="BQ58" s="85">
        <v>8279999.9999999991</v>
      </c>
      <c r="BR58" s="78">
        <v>262857.14285714284</v>
      </c>
      <c r="BS58" s="78">
        <v>8017142.8571428563</v>
      </c>
      <c r="BT58" s="51">
        <v>1215762.8825592762</v>
      </c>
      <c r="BU58" s="79">
        <v>42338092.026606798</v>
      </c>
      <c r="BV58" s="36"/>
      <c r="BW58" s="80">
        <v>42338092.026606798</v>
      </c>
      <c r="BY58" s="81"/>
    </row>
    <row r="59" spans="1:78" hidden="1">
      <c r="A59">
        <v>44</v>
      </c>
      <c r="C59" s="37" t="str">
        <f t="shared" si="0"/>
        <v>W Increased ROE</v>
      </c>
      <c r="D59" s="77">
        <f t="shared" si="1"/>
        <v>2019</v>
      </c>
      <c r="E59" s="78">
        <v>24489627.309523799</v>
      </c>
      <c r="F59" s="78">
        <v>958810.85714285716</v>
      </c>
      <c r="G59" s="78">
        <v>23530816.45238094</v>
      </c>
      <c r="H59" s="42">
        <v>3947458.2263656985</v>
      </c>
      <c r="I59" s="85">
        <v>29010476.190476198</v>
      </c>
      <c r="J59" s="78">
        <v>1048571.4285714285</v>
      </c>
      <c r="K59" s="78">
        <v>27961904.761904769</v>
      </c>
      <c r="L59" s="51">
        <v>4600011.0173439868</v>
      </c>
      <c r="M59" s="85">
        <v>15809523.809523813</v>
      </c>
      <c r="N59" s="78">
        <v>571428.57142857148</v>
      </c>
      <c r="O59" s="78">
        <v>15238095.238095243</v>
      </c>
      <c r="P59" s="51">
        <v>2506817.9931029906</v>
      </c>
      <c r="Q59" s="85">
        <v>1580952.3809523818</v>
      </c>
      <c r="R59" s="78">
        <v>57142.857142857145</v>
      </c>
      <c r="S59" s="78">
        <v>1523809.5238095247</v>
      </c>
      <c r="T59" s="51">
        <v>238260.60286908835</v>
      </c>
      <c r="U59" s="85">
        <v>1580952.3809523818</v>
      </c>
      <c r="V59" s="78">
        <v>57142.857142857145</v>
      </c>
      <c r="W59" s="78">
        <v>1523809.5238095247</v>
      </c>
      <c r="X59" s="51">
        <v>238260.60286908835</v>
      </c>
      <c r="Y59" s="85">
        <v>1580952.3809523818</v>
      </c>
      <c r="Z59" s="78">
        <v>57142.857142857145</v>
      </c>
      <c r="AA59" s="78">
        <v>1523809.5238095247</v>
      </c>
      <c r="AB59" s="51">
        <v>238260.60286908835</v>
      </c>
      <c r="AC59" s="85">
        <v>1600000.0000000007</v>
      </c>
      <c r="AD59" s="78">
        <v>57142.857142857145</v>
      </c>
      <c r="AE59" s="78">
        <v>1542857.1428571437</v>
      </c>
      <c r="AF59" s="51">
        <v>240524.57469066622</v>
      </c>
      <c r="AG59" s="85">
        <v>12927096.771428572</v>
      </c>
      <c r="AH59" s="78">
        <v>453582.34285714285</v>
      </c>
      <c r="AI59" s="78">
        <v>12473514.428571429</v>
      </c>
      <c r="AJ59" s="51">
        <v>2037842.5472301673</v>
      </c>
      <c r="AK59" s="85">
        <v>24057547.842857137</v>
      </c>
      <c r="AL59" s="78">
        <v>844124.48571428575</v>
      </c>
      <c r="AM59" s="78">
        <v>23213423.357142851</v>
      </c>
      <c r="AN59" s="51">
        <v>3792459.7798753697</v>
      </c>
      <c r="AO59" s="85">
        <v>47701809.857142843</v>
      </c>
      <c r="AP59" s="78">
        <v>1673747.7142857143</v>
      </c>
      <c r="AQ59" s="78">
        <v>46028062.142857127</v>
      </c>
      <c r="AR59" s="51">
        <v>7144575.088182102</v>
      </c>
      <c r="AS59" s="85">
        <v>4256233.9714285703</v>
      </c>
      <c r="AT59" s="78">
        <v>149341.54285714286</v>
      </c>
      <c r="AU59" s="78">
        <v>4106892.4285714272</v>
      </c>
      <c r="AV59" s="51">
        <v>637480.70131535083</v>
      </c>
      <c r="AW59" s="85">
        <v>16036804.085714284</v>
      </c>
      <c r="AX59" s="78">
        <v>543480.11428571434</v>
      </c>
      <c r="AY59" s="78">
        <v>15493323.971428569</v>
      </c>
      <c r="AZ59" s="51">
        <v>2511286.119718303</v>
      </c>
      <c r="BA59" s="85">
        <v>45645170.749238081</v>
      </c>
      <c r="BB59" s="78">
        <v>1481495.7768571428</v>
      </c>
      <c r="BC59" s="78">
        <v>44163674.972380936</v>
      </c>
      <c r="BD59" s="51">
        <v>6730724.8497838844</v>
      </c>
      <c r="BE59" s="85">
        <v>7689758.6647619037</v>
      </c>
      <c r="BF59" s="78">
        <v>246385.85714285713</v>
      </c>
      <c r="BG59" s="78">
        <v>7443372.8076190464</v>
      </c>
      <c r="BH59" s="51">
        <v>1131094.1375751595</v>
      </c>
      <c r="BI59" s="85">
        <v>7071428.5714285709</v>
      </c>
      <c r="BJ59" s="78">
        <v>257142.85714285713</v>
      </c>
      <c r="BK59" s="78">
        <v>6814285.7142857136</v>
      </c>
      <c r="BL59" s="51">
        <v>1067078.7763123468</v>
      </c>
      <c r="BM59" s="85">
        <v>33985714.285714276</v>
      </c>
      <c r="BN59" s="78">
        <v>1114285.7142857143</v>
      </c>
      <c r="BO59" s="78">
        <v>32871428.571428563</v>
      </c>
      <c r="BP59" s="51">
        <v>5021335.0853737546</v>
      </c>
      <c r="BQ59" s="85">
        <v>8279999.9999999991</v>
      </c>
      <c r="BR59" s="78">
        <v>262857.14285714284</v>
      </c>
      <c r="BS59" s="78">
        <v>8017142.8571428563</v>
      </c>
      <c r="BT59" s="51">
        <v>1215762.8825592762</v>
      </c>
      <c r="BU59" s="79">
        <v>43299233.588036314</v>
      </c>
      <c r="BV59" s="82">
        <v>43299233.588036314</v>
      </c>
      <c r="BW59" s="38"/>
      <c r="BY59" s="81"/>
    </row>
    <row r="60" spans="1:78" hidden="1">
      <c r="A60">
        <v>45</v>
      </c>
      <c r="C60" s="37" t="str">
        <f t="shared" si="0"/>
        <v>Base FCR</v>
      </c>
      <c r="D60" s="77">
        <f t="shared" si="1"/>
        <v>2020</v>
      </c>
      <c r="E60" s="78">
        <v>23530816.45238094</v>
      </c>
      <c r="F60" s="78">
        <v>958810.85714285716</v>
      </c>
      <c r="G60" s="78">
        <v>22572005.595238082</v>
      </c>
      <c r="H60" s="42">
        <v>3433421.9072780451</v>
      </c>
      <c r="I60" s="85">
        <v>27961904.761904769</v>
      </c>
      <c r="J60" s="78">
        <v>1048571.4285714285</v>
      </c>
      <c r="K60" s="78">
        <v>26913333.33333334</v>
      </c>
      <c r="L60" s="51">
        <v>3999130.3313518125</v>
      </c>
      <c r="M60" s="85">
        <v>15238095.238095243</v>
      </c>
      <c r="N60" s="78">
        <v>571428.57142857148</v>
      </c>
      <c r="O60" s="78">
        <v>14666666.666666672</v>
      </c>
      <c r="P60" s="51">
        <v>2179362.5783933587</v>
      </c>
      <c r="Q60" s="85">
        <v>1523809.5238095247</v>
      </c>
      <c r="R60" s="78">
        <v>57142.857142857145</v>
      </c>
      <c r="S60" s="78">
        <v>1466666.6666666677</v>
      </c>
      <c r="T60" s="51">
        <v>217936.25783933589</v>
      </c>
      <c r="U60" s="85">
        <v>1523809.5238095247</v>
      </c>
      <c r="V60" s="78">
        <v>57142.857142857145</v>
      </c>
      <c r="W60" s="78">
        <v>1466666.6666666677</v>
      </c>
      <c r="X60" s="51">
        <v>217936.25783933589</v>
      </c>
      <c r="Y60" s="85">
        <v>1523809.5238095247</v>
      </c>
      <c r="Z60" s="78">
        <v>57142.857142857145</v>
      </c>
      <c r="AA60" s="78">
        <v>1466666.6666666677</v>
      </c>
      <c r="AB60" s="51">
        <v>217936.25783933589</v>
      </c>
      <c r="AC60" s="85">
        <v>1542857.1428571437</v>
      </c>
      <c r="AD60" s="78">
        <v>57142.857142857145</v>
      </c>
      <c r="AE60" s="78">
        <v>1485714.2857142866</v>
      </c>
      <c r="AF60" s="51">
        <v>220024.48382240703</v>
      </c>
      <c r="AG60" s="85">
        <v>12473514.428571429</v>
      </c>
      <c r="AH60" s="78">
        <v>453582.34285714285</v>
      </c>
      <c r="AI60" s="78">
        <v>12019932.085714286</v>
      </c>
      <c r="AJ60" s="51">
        <v>1771349.9039044504</v>
      </c>
      <c r="AK60" s="85">
        <v>23213423.357142851</v>
      </c>
      <c r="AL60" s="78">
        <v>844124.48571428575</v>
      </c>
      <c r="AM60" s="78">
        <v>22369298.871428564</v>
      </c>
      <c r="AN60" s="51">
        <v>3296512.4198503545</v>
      </c>
      <c r="AO60" s="85">
        <v>46028062.142857127</v>
      </c>
      <c r="AP60" s="78">
        <v>1673747.7142857143</v>
      </c>
      <c r="AQ60" s="78">
        <v>44354314.42857141</v>
      </c>
      <c r="AR60" s="51">
        <v>6536393.8864658652</v>
      </c>
      <c r="AS60" s="85">
        <v>4106892.4285714272</v>
      </c>
      <c r="AT60" s="78">
        <v>149341.54285714286</v>
      </c>
      <c r="AU60" s="78">
        <v>3957550.8857142841</v>
      </c>
      <c r="AV60" s="51">
        <v>583215.22377307073</v>
      </c>
      <c r="AW60" s="85">
        <v>15493323.971428569</v>
      </c>
      <c r="AX60" s="78">
        <v>543480.11428571434</v>
      </c>
      <c r="AY60" s="78">
        <v>14949843.857142854</v>
      </c>
      <c r="AZ60" s="51">
        <v>2182459.3645161879</v>
      </c>
      <c r="BA60" s="85">
        <v>44163674.972380936</v>
      </c>
      <c r="BB60" s="78">
        <v>1481495.7768571428</v>
      </c>
      <c r="BC60" s="78">
        <v>42682179.195523791</v>
      </c>
      <c r="BD60" s="51">
        <v>6160822.6463922076</v>
      </c>
      <c r="BE60" s="85">
        <v>7443372.8076190464</v>
      </c>
      <c r="BF60" s="78">
        <v>246385.85714285713</v>
      </c>
      <c r="BG60" s="78">
        <v>7196986.9504761891</v>
      </c>
      <c r="BH60" s="51">
        <v>1035404.9525077975</v>
      </c>
      <c r="BI60" s="85">
        <v>6814285.7142857136</v>
      </c>
      <c r="BJ60" s="78">
        <v>257142.85714285713</v>
      </c>
      <c r="BK60" s="78">
        <v>6557142.8571428563</v>
      </c>
      <c r="BL60" s="51">
        <v>976014.65181510092</v>
      </c>
      <c r="BM60" s="85">
        <v>32871428.571428563</v>
      </c>
      <c r="BN60" s="78">
        <v>1114285.7142857143</v>
      </c>
      <c r="BO60" s="78">
        <v>31757142.857142851</v>
      </c>
      <c r="BP60" s="51">
        <v>4595880.4845610904</v>
      </c>
      <c r="BQ60" s="85">
        <v>8017142.8571428563</v>
      </c>
      <c r="BR60" s="78">
        <v>262857.14285714284</v>
      </c>
      <c r="BS60" s="78">
        <v>7754285.7142857136</v>
      </c>
      <c r="BT60" s="51">
        <v>1112973.9405654084</v>
      </c>
      <c r="BU60" s="79">
        <f t="shared" ref="BU60:BU75" si="2">H60+L60+P60+T60+X60+AB60+AF60+AJ60+AN60+AR60+AV60+AZ60+BD60+BH60+BL60+BP60+BT60</f>
        <v>38736775.548715159</v>
      </c>
      <c r="BV60" s="36"/>
      <c r="BW60" s="80">
        <f t="shared" ref="BW60" si="3">+BU60</f>
        <v>38736775.548715159</v>
      </c>
    </row>
    <row r="61" spans="1:78" hidden="1">
      <c r="A61">
        <v>46</v>
      </c>
      <c r="C61" s="37" t="str">
        <f t="shared" si="0"/>
        <v>W Increased ROE</v>
      </c>
      <c r="D61" s="77">
        <f t="shared" si="1"/>
        <v>2020</v>
      </c>
      <c r="E61" s="78">
        <v>23530816.45238094</v>
      </c>
      <c r="F61" s="78">
        <v>958810.85714285716</v>
      </c>
      <c r="G61" s="78">
        <v>22572005.595238082</v>
      </c>
      <c r="H61" s="42">
        <v>3622388.9339732095</v>
      </c>
      <c r="I61" s="85">
        <v>27961904.761904769</v>
      </c>
      <c r="J61" s="78">
        <v>1048571.4285714285</v>
      </c>
      <c r="K61" s="78">
        <v>26913333.33333334</v>
      </c>
      <c r="L61" s="51">
        <v>4224441.8375446331</v>
      </c>
      <c r="M61" s="85">
        <v>15238095.238095243</v>
      </c>
      <c r="N61" s="78">
        <v>571428.57142857148</v>
      </c>
      <c r="O61" s="78">
        <v>14666666.666666672</v>
      </c>
      <c r="P61" s="51">
        <v>2302148.1403512992</v>
      </c>
      <c r="Q61" s="85">
        <v>1523809.5238095247</v>
      </c>
      <c r="R61" s="78">
        <v>57142.857142857145</v>
      </c>
      <c r="S61" s="78">
        <v>1466666.6666666677</v>
      </c>
      <c r="T61" s="51">
        <v>217936.25783933589</v>
      </c>
      <c r="U61" s="85">
        <v>1523809.5238095247</v>
      </c>
      <c r="V61" s="78">
        <v>57142.857142857145</v>
      </c>
      <c r="W61" s="78">
        <v>1466666.6666666677</v>
      </c>
      <c r="X61" s="51">
        <v>217936.25783933589</v>
      </c>
      <c r="Y61" s="85">
        <v>1523809.5238095247</v>
      </c>
      <c r="Z61" s="78">
        <v>57142.857142857145</v>
      </c>
      <c r="AA61" s="78">
        <v>1466666.6666666677</v>
      </c>
      <c r="AB61" s="51">
        <v>217936.25783933589</v>
      </c>
      <c r="AC61" s="85">
        <v>1542857.1428571437</v>
      </c>
      <c r="AD61" s="78">
        <v>57142.857142857145</v>
      </c>
      <c r="AE61" s="78">
        <v>1485714.2857142866</v>
      </c>
      <c r="AF61" s="51">
        <v>220024.48382240703</v>
      </c>
      <c r="AG61" s="85">
        <v>12473514.428571429</v>
      </c>
      <c r="AH61" s="78">
        <v>453582.34285714285</v>
      </c>
      <c r="AI61" s="78">
        <v>12019932.085714286</v>
      </c>
      <c r="AJ61" s="51">
        <v>1871977.6845299532</v>
      </c>
      <c r="AK61" s="85">
        <v>23213423.357142851</v>
      </c>
      <c r="AL61" s="78">
        <v>844124.48571428575</v>
      </c>
      <c r="AM61" s="78">
        <v>22369298.871428564</v>
      </c>
      <c r="AN61" s="51">
        <v>3483782.4379776372</v>
      </c>
      <c r="AO61" s="85">
        <v>46028062.142857127</v>
      </c>
      <c r="AP61" s="78">
        <v>1673747.7142857143</v>
      </c>
      <c r="AQ61" s="78">
        <v>44354314.42857141</v>
      </c>
      <c r="AR61" s="51">
        <v>6536393.8864658652</v>
      </c>
      <c r="AS61" s="85">
        <v>4106892.4285714272</v>
      </c>
      <c r="AT61" s="78">
        <v>149341.54285714286</v>
      </c>
      <c r="AU61" s="78">
        <v>3957550.8857142841</v>
      </c>
      <c r="AV61" s="51">
        <v>583215.22377307073</v>
      </c>
      <c r="AW61" s="85">
        <v>15493323.971428569</v>
      </c>
      <c r="AX61" s="78">
        <v>543480.11428571434</v>
      </c>
      <c r="AY61" s="78">
        <v>14949843.857142854</v>
      </c>
      <c r="AZ61" s="51">
        <v>2307615.61309683</v>
      </c>
      <c r="BA61" s="85">
        <v>44163674.972380936</v>
      </c>
      <c r="BB61" s="78">
        <v>1481495.7768571428</v>
      </c>
      <c r="BC61" s="78">
        <v>42682179.195523791</v>
      </c>
      <c r="BD61" s="51">
        <v>6160822.6463922076</v>
      </c>
      <c r="BE61" s="85">
        <v>7443372.8076190464</v>
      </c>
      <c r="BF61" s="78">
        <v>246385.85714285713</v>
      </c>
      <c r="BG61" s="78">
        <v>7196986.9504761891</v>
      </c>
      <c r="BH61" s="51">
        <v>1035404.9525077975</v>
      </c>
      <c r="BI61" s="85">
        <v>6814285.7142857136</v>
      </c>
      <c r="BJ61" s="78">
        <v>257142.85714285713</v>
      </c>
      <c r="BK61" s="78">
        <v>6557142.8571428563</v>
      </c>
      <c r="BL61" s="51">
        <v>976014.65181510092</v>
      </c>
      <c r="BM61" s="85">
        <v>32871428.571428563</v>
      </c>
      <c r="BN61" s="78">
        <v>1114285.7142857143</v>
      </c>
      <c r="BO61" s="78">
        <v>31757142.857142851</v>
      </c>
      <c r="BP61" s="51">
        <v>4595880.4845610904</v>
      </c>
      <c r="BQ61" s="85">
        <v>8017142.8571428563</v>
      </c>
      <c r="BR61" s="78">
        <v>262857.14285714284</v>
      </c>
      <c r="BS61" s="78">
        <v>7754285.7142857136</v>
      </c>
      <c r="BT61" s="51">
        <v>1112973.9405654084</v>
      </c>
      <c r="BU61" s="79">
        <f t="shared" si="2"/>
        <v>39686893.690894514</v>
      </c>
      <c r="BV61" s="82">
        <f t="shared" ref="BV61:BV67" si="4">+BU61</f>
        <v>39686893.690894514</v>
      </c>
      <c r="BW61" s="38"/>
      <c r="BX61" s="81">
        <f>BV61-BW60</f>
        <v>950118.14217935503</v>
      </c>
    </row>
    <row r="62" spans="1:78">
      <c r="A62">
        <v>47</v>
      </c>
      <c r="C62" s="37" t="str">
        <f t="shared" si="0"/>
        <v>Base FCR</v>
      </c>
      <c r="D62" s="77">
        <f t="shared" si="1"/>
        <v>2021</v>
      </c>
      <c r="E62" s="78">
        <f>+G61</f>
        <v>22572005.595238082</v>
      </c>
      <c r="F62" s="78">
        <f>+E$32</f>
        <v>958810.85714285716</v>
      </c>
      <c r="G62" s="78">
        <f t="shared" ref="G62:G75" si="5">+E62-F62</f>
        <v>21613194.738095224</v>
      </c>
      <c r="H62" s="42">
        <f>+E$29*G62+F62</f>
        <v>3691362.6522324551</v>
      </c>
      <c r="I62" s="85">
        <f>+K61</f>
        <v>26913333.33333334</v>
      </c>
      <c r="J62" s="78">
        <f>+I$32</f>
        <v>1048571.4285714285</v>
      </c>
      <c r="K62" s="78">
        <f t="shared" ref="K62:K75" si="6">+I62-J62</f>
        <v>25864761.90476191</v>
      </c>
      <c r="L62" s="51">
        <f>+I$29*K62+J62</f>
        <v>4318647.9919333411</v>
      </c>
      <c r="M62" s="85">
        <f>+O61</f>
        <v>14666666.666666672</v>
      </c>
      <c r="N62" s="78">
        <f>+M$32</f>
        <v>571428.57142857148</v>
      </c>
      <c r="O62" s="78">
        <f t="shared" ref="O62:O75" si="7">+M62-N62</f>
        <v>14095238.095238101</v>
      </c>
      <c r="P62" s="51">
        <f>+M$29*O62+N62</f>
        <v>2353486.6441053632</v>
      </c>
      <c r="Q62" s="85">
        <f>+S61</f>
        <v>1466666.6666666677</v>
      </c>
      <c r="R62" s="78">
        <f>+Q$32</f>
        <v>57142.857142857145</v>
      </c>
      <c r="S62" s="78">
        <f t="shared" ref="S62:S75" si="8">+Q62-R62</f>
        <v>1409523.8095238106</v>
      </c>
      <c r="T62" s="51">
        <f>+Q$29*S62+R62</f>
        <v>235348.66441053641</v>
      </c>
      <c r="U62" s="85">
        <f>+W61</f>
        <v>1466666.6666666677</v>
      </c>
      <c r="V62" s="78">
        <f>+U$32</f>
        <v>57142.857142857145</v>
      </c>
      <c r="W62" s="78">
        <f t="shared" ref="W62:W75" si="9">+U62-V62</f>
        <v>1409523.8095238106</v>
      </c>
      <c r="X62" s="51">
        <f>+U$29*W62+V62</f>
        <v>235348.66441053641</v>
      </c>
      <c r="Y62" s="85">
        <f>+AA61</f>
        <v>1466666.6666666677</v>
      </c>
      <c r="Z62" s="78">
        <f>+Y$32</f>
        <v>57142.857142857145</v>
      </c>
      <c r="AA62" s="78">
        <f t="shared" ref="AA62:AA75" si="10">+Y62-Z62</f>
        <v>1409523.8095238106</v>
      </c>
      <c r="AB62" s="51">
        <f>+Y$29*AA62+Z62</f>
        <v>235348.66441053641</v>
      </c>
      <c r="AC62" s="85">
        <f>+AE61</f>
        <v>1485714.2857142866</v>
      </c>
      <c r="AD62" s="78">
        <f>+AC$32</f>
        <v>57142.857142857145</v>
      </c>
      <c r="AE62" s="78">
        <f t="shared" ref="AE62:AE75" si="11">+AC62-AD62</f>
        <v>1428571.4285714296</v>
      </c>
      <c r="AF62" s="51">
        <f>+AC$29*AE62+AD62</f>
        <v>237756.85099523474</v>
      </c>
      <c r="AG62" s="85">
        <f t="shared" ref="AG62:AG74" si="12">+AI61</f>
        <v>12019932.085714286</v>
      </c>
      <c r="AH62" s="78">
        <f>+AG$32</f>
        <v>453582.34285714285</v>
      </c>
      <c r="AI62" s="78">
        <f t="shared" ref="AI62:AI75" si="13">+AG62-AH62</f>
        <v>11566349.742857143</v>
      </c>
      <c r="AJ62" s="51">
        <f>+AG$29*AI62+AH62</f>
        <v>1915913.5778027365</v>
      </c>
      <c r="AK62" s="85">
        <f t="shared" ref="AK62:AK74" si="14">+AM61</f>
        <v>22369298.871428564</v>
      </c>
      <c r="AL62" s="78">
        <f>+AK$32</f>
        <v>844124.48571428575</v>
      </c>
      <c r="AM62" s="78">
        <f t="shared" ref="AM62:AM75" si="15">+AK62-AL62</f>
        <v>21525174.385714278</v>
      </c>
      <c r="AN62" s="51">
        <f>+AK$29*AM62+AL62</f>
        <v>3565547.8856352121</v>
      </c>
      <c r="AO62" s="85">
        <f t="shared" ref="AO62:AO74" si="16">+AQ61</f>
        <v>44354314.42857141</v>
      </c>
      <c r="AP62" s="78">
        <f>+AO$32</f>
        <v>1673747.7142857143</v>
      </c>
      <c r="AQ62" s="78">
        <f t="shared" ref="AQ62:AQ75" si="17">+AO62-AP62</f>
        <v>42680566.714285694</v>
      </c>
      <c r="AR62" s="51">
        <f>+AO$29*AQ62+AP62</f>
        <v>7069843.044190703</v>
      </c>
      <c r="AS62" s="85">
        <f t="shared" ref="AS62:AS74" si="18">+AU61</f>
        <v>3957550.8857142841</v>
      </c>
      <c r="AT62" s="78">
        <f>+AS$32</f>
        <v>149341.54285714286</v>
      </c>
      <c r="AU62" s="78">
        <f t="shared" ref="AU62:AU75" si="19">+AS62-AT62</f>
        <v>3808209.342857141</v>
      </c>
      <c r="AV62" s="51">
        <f>+AS$29*AU62+AT62</f>
        <v>630812.6720446992</v>
      </c>
      <c r="AW62" s="85">
        <f t="shared" ref="AW62" si="20">+AY61</f>
        <v>14949843.857142854</v>
      </c>
      <c r="AX62" s="78">
        <f>+AW$32</f>
        <v>543480.11428571434</v>
      </c>
      <c r="AY62" s="78">
        <f t="shared" ref="AY62:AY75" si="21">+AW62-AX62</f>
        <v>14406363.74285714</v>
      </c>
      <c r="AZ62" s="51">
        <f>+AW$29*AY62+AX62</f>
        <v>2364873.7390269735</v>
      </c>
      <c r="BA62" s="85">
        <f t="shared" ref="BA62" si="22">+BC61</f>
        <v>42682179.195523791</v>
      </c>
      <c r="BB62" s="78">
        <f>+BA$32</f>
        <v>1481495.7768571428</v>
      </c>
      <c r="BC62" s="78">
        <f t="shared" ref="BC62:BC75" si="23">+BA62-BB62</f>
        <v>41200683.418666646</v>
      </c>
      <c r="BD62" s="51">
        <f>+BA$29*BC62+BB62</f>
        <v>6690489.7640421093</v>
      </c>
      <c r="BE62" s="85">
        <f t="shared" ref="BE62" si="24">+BG61</f>
        <v>7196986.9504761891</v>
      </c>
      <c r="BF62" s="78">
        <f>+BE$32</f>
        <v>246385.85714285713</v>
      </c>
      <c r="BG62" s="78">
        <f t="shared" ref="BG62:BG75" si="25">+BE62-BF62</f>
        <v>6950601.0933333319</v>
      </c>
      <c r="BH62" s="51">
        <f>+BE$29*BG62+BF62</f>
        <v>1125148.9333420014</v>
      </c>
      <c r="BI62" s="85">
        <f t="shared" ref="BI62:BI74" si="26">+BK61</f>
        <v>6557142.8571428563</v>
      </c>
      <c r="BJ62" s="78">
        <f t="shared" ref="BJ62:BJ65" si="27">+BI$32</f>
        <v>257142.85714285713</v>
      </c>
      <c r="BK62" s="78">
        <f t="shared" ref="BK62:BK65" si="28">+BI62-BJ62</f>
        <v>6299999.9999999991</v>
      </c>
      <c r="BL62" s="51">
        <f t="shared" ref="BL62:BL65" si="29">+BI$29*BK62+BJ62</f>
        <v>1053650.5700318418</v>
      </c>
      <c r="BM62" s="85">
        <f t="shared" ref="BM62" si="30">+BO61</f>
        <v>31757142.857142851</v>
      </c>
      <c r="BN62" s="78">
        <f t="shared" ref="BN62:BN69" si="31">+BM$32</f>
        <v>1114285.7142857143</v>
      </c>
      <c r="BO62" s="78">
        <f t="shared" ref="BO62:BO69" si="32">+BM62-BN62</f>
        <v>30642857.142857138</v>
      </c>
      <c r="BP62" s="51">
        <f t="shared" ref="BP62:BP69" si="33">+BM$29*BO62+BN62</f>
        <v>4988455.8824192109</v>
      </c>
      <c r="BQ62" s="85">
        <f t="shared" ref="BQ62" si="34">+BS61</f>
        <v>7754285.7142857136</v>
      </c>
      <c r="BR62" s="78">
        <f t="shared" ref="BR62:BR69" si="35">+BQ$32</f>
        <v>262857.14285714284</v>
      </c>
      <c r="BS62" s="78">
        <f t="shared" ref="BS62:BS69" si="36">+BQ62-BR62</f>
        <v>7491428.5714285709</v>
      </c>
      <c r="BT62" s="51">
        <f t="shared" ref="BT62:BT69" si="37">+BQ$29*BS62+BR62</f>
        <v>1209996.9266190103</v>
      </c>
      <c r="BU62" s="79">
        <f t="shared" si="2"/>
        <v>41922033.127652511</v>
      </c>
      <c r="BV62" s="36"/>
      <c r="BW62" s="80">
        <f t="shared" ref="BW62" si="38">+BU62</f>
        <v>41922033.127652511</v>
      </c>
    </row>
    <row r="63" spans="1:78">
      <c r="A63">
        <v>48</v>
      </c>
      <c r="C63" s="37" t="str">
        <f t="shared" si="0"/>
        <v>W Increased ROE</v>
      </c>
      <c r="D63" s="77">
        <f t="shared" si="1"/>
        <v>2021</v>
      </c>
      <c r="E63" s="78">
        <f>+E62</f>
        <v>22572005.595238082</v>
      </c>
      <c r="F63" s="78">
        <f>+F62</f>
        <v>958810.85714285716</v>
      </c>
      <c r="G63" s="78">
        <f t="shared" si="5"/>
        <v>21613194.738095224</v>
      </c>
      <c r="H63" s="42">
        <f>+E$30*G63+F63</f>
        <v>3882148.0223721857</v>
      </c>
      <c r="I63" s="85">
        <f>+I62</f>
        <v>26913333.33333334</v>
      </c>
      <c r="J63" s="78">
        <f>+J62</f>
        <v>1048571.4285714285</v>
      </c>
      <c r="K63" s="78">
        <f t="shared" si="6"/>
        <v>25864761.90476191</v>
      </c>
      <c r="L63" s="51">
        <f>+I$30*K63+J63</f>
        <v>4546963.0667463345</v>
      </c>
      <c r="M63" s="85">
        <f>+M62</f>
        <v>14666666.666666672</v>
      </c>
      <c r="N63" s="78">
        <f>+N62</f>
        <v>571428.57142857148</v>
      </c>
      <c r="O63" s="78">
        <f t="shared" si="7"/>
        <v>14095238.095238101</v>
      </c>
      <c r="P63" s="51">
        <f>+M$30*O63+N63</f>
        <v>2477909.0281996378</v>
      </c>
      <c r="Q63" s="85">
        <f>+Q62</f>
        <v>1466666.6666666677</v>
      </c>
      <c r="R63" s="78">
        <f>+R62</f>
        <v>57142.857142857145</v>
      </c>
      <c r="S63" s="78">
        <f t="shared" si="8"/>
        <v>1409523.8095238106</v>
      </c>
      <c r="T63" s="51">
        <f>+Q$30*S63+R63</f>
        <v>235348.66441053641</v>
      </c>
      <c r="U63" s="85">
        <f>+U62</f>
        <v>1466666.6666666677</v>
      </c>
      <c r="V63" s="78">
        <f>+V62</f>
        <v>57142.857142857145</v>
      </c>
      <c r="W63" s="78">
        <f t="shared" si="9"/>
        <v>1409523.8095238106</v>
      </c>
      <c r="X63" s="51">
        <f>+U$30*W63+V63</f>
        <v>235348.66441053641</v>
      </c>
      <c r="Y63" s="85">
        <f>+Y62</f>
        <v>1466666.6666666677</v>
      </c>
      <c r="Z63" s="78">
        <f>+Z62</f>
        <v>57142.857142857145</v>
      </c>
      <c r="AA63" s="78">
        <f t="shared" si="10"/>
        <v>1409523.8095238106</v>
      </c>
      <c r="AB63" s="51">
        <f>+Y$30*AA63+Z63</f>
        <v>235348.66441053641</v>
      </c>
      <c r="AC63" s="85">
        <f>+AC62</f>
        <v>1485714.2857142866</v>
      </c>
      <c r="AD63" s="78">
        <f>+AD62</f>
        <v>57142.857142857145</v>
      </c>
      <c r="AE63" s="78">
        <f t="shared" si="11"/>
        <v>1428571.4285714296</v>
      </c>
      <c r="AF63" s="51">
        <f>+AC$30*AE63+AD63</f>
        <v>237756.85099523474</v>
      </c>
      <c r="AG63" s="85">
        <f>+AI61</f>
        <v>12019932.085714286</v>
      </c>
      <c r="AH63" s="78">
        <f>+AH62</f>
        <v>453582.34285714285</v>
      </c>
      <c r="AI63" s="78">
        <f t="shared" si="13"/>
        <v>11566349.742857143</v>
      </c>
      <c r="AJ63" s="51">
        <f>+AG$30*AI63+AH63</f>
        <v>2018012.7974505883</v>
      </c>
      <c r="AK63" s="85">
        <f>+AM61</f>
        <v>22369298.871428564</v>
      </c>
      <c r="AL63" s="78">
        <f>+AL62</f>
        <v>844124.48571428575</v>
      </c>
      <c r="AM63" s="78">
        <f t="shared" si="15"/>
        <v>21525174.385714278</v>
      </c>
      <c r="AN63" s="51">
        <f>+AK$30*AM63+AL63</f>
        <v>3755556.2769103036</v>
      </c>
      <c r="AO63" s="85">
        <f>+AQ61</f>
        <v>44354314.42857141</v>
      </c>
      <c r="AP63" s="78">
        <f>+AP62</f>
        <v>1673747.7142857143</v>
      </c>
      <c r="AQ63" s="78">
        <f t="shared" si="17"/>
        <v>42680566.714285694</v>
      </c>
      <c r="AR63" s="51">
        <f>+AO$30*AQ63+AP63</f>
        <v>7069843.044190703</v>
      </c>
      <c r="AS63" s="85">
        <f>+AU61</f>
        <v>3957550.8857142841</v>
      </c>
      <c r="AT63" s="78">
        <f>+AT62</f>
        <v>149341.54285714286</v>
      </c>
      <c r="AU63" s="78">
        <f t="shared" si="19"/>
        <v>3808209.342857141</v>
      </c>
      <c r="AV63" s="51">
        <f>+AS$30*AU63+AT63</f>
        <v>630812.6720446992</v>
      </c>
      <c r="AW63" s="85">
        <f>+AY61</f>
        <v>14949843.857142854</v>
      </c>
      <c r="AX63" s="78">
        <f>+AX62</f>
        <v>543480.11428571434</v>
      </c>
      <c r="AY63" s="78">
        <f t="shared" si="21"/>
        <v>14406363.74285714</v>
      </c>
      <c r="AZ63" s="51">
        <f>+AW$30*AY63+AX63</f>
        <v>2492042.5112679452</v>
      </c>
      <c r="BA63" s="85">
        <f>+BC61</f>
        <v>42682179.195523791</v>
      </c>
      <c r="BB63" s="78">
        <f>+BB62</f>
        <v>1481495.7768571428</v>
      </c>
      <c r="BC63" s="78">
        <f t="shared" si="23"/>
        <v>41200683.418666646</v>
      </c>
      <c r="BD63" s="51">
        <f>+BA$30*BC63+BB63</f>
        <v>6690489.7640421093</v>
      </c>
      <c r="BE63" s="85">
        <f>+BG61</f>
        <v>7196986.9504761891</v>
      </c>
      <c r="BF63" s="78">
        <f>+BF62</f>
        <v>246385.85714285713</v>
      </c>
      <c r="BG63" s="78">
        <f t="shared" si="25"/>
        <v>6950601.0933333319</v>
      </c>
      <c r="BH63" s="51">
        <f>+BE$30*BG63+BF63</f>
        <v>1125148.9333420014</v>
      </c>
      <c r="BI63" s="85">
        <f>+BI62</f>
        <v>6557142.8571428563</v>
      </c>
      <c r="BJ63" s="78">
        <f t="shared" si="27"/>
        <v>257142.85714285713</v>
      </c>
      <c r="BK63" s="78">
        <f t="shared" si="28"/>
        <v>6299999.9999999991</v>
      </c>
      <c r="BL63" s="51">
        <f t="shared" si="29"/>
        <v>1053650.5700318418</v>
      </c>
      <c r="BM63" s="85">
        <f>+BM62</f>
        <v>31757142.857142851</v>
      </c>
      <c r="BN63" s="78">
        <f t="shared" si="31"/>
        <v>1114285.7142857143</v>
      </c>
      <c r="BO63" s="78">
        <f t="shared" si="32"/>
        <v>30642857.142857138</v>
      </c>
      <c r="BP63" s="51">
        <f t="shared" si="33"/>
        <v>4988455.8824192109</v>
      </c>
      <c r="BQ63" s="85">
        <f>+BQ62</f>
        <v>7754285.7142857136</v>
      </c>
      <c r="BR63" s="78">
        <f t="shared" si="35"/>
        <v>262857.14285714284</v>
      </c>
      <c r="BS63" s="78">
        <f t="shared" si="36"/>
        <v>7491428.5714285709</v>
      </c>
      <c r="BT63" s="51">
        <f t="shared" si="37"/>
        <v>1209996.9266190103</v>
      </c>
      <c r="BU63" s="79">
        <f t="shared" si="2"/>
        <v>42884832.33986342</v>
      </c>
      <c r="BV63" s="82">
        <f t="shared" si="4"/>
        <v>42884832.33986342</v>
      </c>
      <c r="BW63" s="38"/>
      <c r="BX63" s="81">
        <f>BV63-BW62</f>
        <v>962799.21221090853</v>
      </c>
    </row>
    <row r="64" spans="1:78">
      <c r="A64">
        <v>49</v>
      </c>
      <c r="C64" s="37" t="str">
        <f t="shared" si="0"/>
        <v>Base FCR</v>
      </c>
      <c r="D64" s="77">
        <f t="shared" si="1"/>
        <v>2022</v>
      </c>
      <c r="E64" s="78">
        <f>+G63</f>
        <v>21613194.738095224</v>
      </c>
      <c r="F64" s="78">
        <f>+E$32</f>
        <v>958810.85714285716</v>
      </c>
      <c r="G64" s="78">
        <f t="shared" si="5"/>
        <v>20654383.880952366</v>
      </c>
      <c r="H64" s="42">
        <f>+E$29*G64+F64</f>
        <v>3570140.3914521397</v>
      </c>
      <c r="I64" s="85">
        <f>+K63</f>
        <v>25864761.90476191</v>
      </c>
      <c r="J64" s="78">
        <f>+I$32</f>
        <v>1048571.4285714285</v>
      </c>
      <c r="K64" s="78">
        <f t="shared" si="6"/>
        <v>24816190.476190481</v>
      </c>
      <c r="L64" s="51">
        <f>+I$29*K64+J64</f>
        <v>4186077.3204456959</v>
      </c>
      <c r="M64" s="85">
        <f>+O63</f>
        <v>14095238.095238101</v>
      </c>
      <c r="N64" s="78">
        <f>+M$32</f>
        <v>571428.57142857148</v>
      </c>
      <c r="O64" s="78">
        <f t="shared" si="7"/>
        <v>13523809.52380953</v>
      </c>
      <c r="P64" s="51">
        <f>+M$29*O64+N64</f>
        <v>2281241.0465644123</v>
      </c>
      <c r="Q64" s="85">
        <f>+S63</f>
        <v>1409523.8095238106</v>
      </c>
      <c r="R64" s="78">
        <f>+Q$32</f>
        <v>57142.857142857145</v>
      </c>
      <c r="S64" s="78">
        <f t="shared" si="8"/>
        <v>1352380.9523809536</v>
      </c>
      <c r="T64" s="51">
        <f>+Q$29*S64+R64</f>
        <v>228124.10465644131</v>
      </c>
      <c r="U64" s="85">
        <f>+W63</f>
        <v>1409523.8095238106</v>
      </c>
      <c r="V64" s="78">
        <f>+U$32</f>
        <v>57142.857142857145</v>
      </c>
      <c r="W64" s="78">
        <f t="shared" si="9"/>
        <v>1352380.9523809536</v>
      </c>
      <c r="X64" s="51">
        <f>+U$29*W64+V64</f>
        <v>228124.10465644131</v>
      </c>
      <c r="Y64" s="85">
        <f>+AA63</f>
        <v>1409523.8095238106</v>
      </c>
      <c r="Z64" s="78">
        <f>+Y$32</f>
        <v>57142.857142857145</v>
      </c>
      <c r="AA64" s="78">
        <f t="shared" si="10"/>
        <v>1352380.9523809536</v>
      </c>
      <c r="AB64" s="51">
        <f>+Y$29*AA64+Z64</f>
        <v>228124.10465644131</v>
      </c>
      <c r="AC64" s="85">
        <f>+AE63</f>
        <v>1428571.4285714296</v>
      </c>
      <c r="AD64" s="78">
        <f>+AC$32</f>
        <v>57142.857142857145</v>
      </c>
      <c r="AE64" s="78">
        <f t="shared" si="11"/>
        <v>1371428.5714285725</v>
      </c>
      <c r="AF64" s="51">
        <f>+AC$29*AE64+AD64</f>
        <v>230532.29124113964</v>
      </c>
      <c r="AG64" s="85">
        <f t="shared" si="12"/>
        <v>11566349.742857143</v>
      </c>
      <c r="AH64" s="78">
        <f>+AG$32</f>
        <v>453582.34285714285</v>
      </c>
      <c r="AI64" s="78">
        <f t="shared" si="13"/>
        <v>11112767.4</v>
      </c>
      <c r="AJ64" s="51">
        <f>+AG$29*AI64+AH64</f>
        <v>1858567.2548636936</v>
      </c>
      <c r="AK64" s="85">
        <f t="shared" si="14"/>
        <v>21525174.385714278</v>
      </c>
      <c r="AL64" s="78">
        <f>+AK$32</f>
        <v>844124.48571428575</v>
      </c>
      <c r="AM64" s="78">
        <f t="shared" si="15"/>
        <v>20681049.899999991</v>
      </c>
      <c r="AN64" s="51">
        <f>+AK$29*AM64+AL64</f>
        <v>3458825.3993638027</v>
      </c>
      <c r="AO64" s="85">
        <f t="shared" si="16"/>
        <v>42680566.714285694</v>
      </c>
      <c r="AP64" s="78">
        <f>+AO$32</f>
        <v>1673747.7142857143</v>
      </c>
      <c r="AQ64" s="78">
        <f t="shared" si="17"/>
        <v>41006818.999999978</v>
      </c>
      <c r="AR64" s="51">
        <f>+AO$29*AQ64+AP64</f>
        <v>6858231.4626258006</v>
      </c>
      <c r="AS64" s="85">
        <f t="shared" si="18"/>
        <v>3808209.342857141</v>
      </c>
      <c r="AT64" s="78">
        <f>+AS$32</f>
        <v>149341.54285714286</v>
      </c>
      <c r="AU64" s="78">
        <f t="shared" si="19"/>
        <v>3658867.799999998</v>
      </c>
      <c r="AV64" s="51">
        <f>+AS$29*AU64+AT64</f>
        <v>611931.45129224588</v>
      </c>
      <c r="AW64" s="85">
        <f t="shared" ref="AW64" si="39">+AY63</f>
        <v>14406363.74285714</v>
      </c>
      <c r="AX64" s="78">
        <f>+AW$32</f>
        <v>543480.11428571434</v>
      </c>
      <c r="AY64" s="78">
        <f t="shared" si="21"/>
        <v>13862883.628571425</v>
      </c>
      <c r="AZ64" s="51">
        <f>+AW$29*AY64+AX64</f>
        <v>2296161.6592126312</v>
      </c>
      <c r="BA64" s="85">
        <f t="shared" ref="BA64" si="40">+BC63</f>
        <v>41200683.418666646</v>
      </c>
      <c r="BB64" s="78">
        <f>+BA$32</f>
        <v>1481495.7768571428</v>
      </c>
      <c r="BC64" s="78">
        <f t="shared" si="23"/>
        <v>39719187.641809501</v>
      </c>
      <c r="BD64" s="51">
        <f>+BA$29*BC64+BB64</f>
        <v>6503184.5556485895</v>
      </c>
      <c r="BE64" s="85">
        <f t="shared" ref="BE64" si="41">+BG63</f>
        <v>6950601.0933333319</v>
      </c>
      <c r="BF64" s="78">
        <f>+BE$32</f>
        <v>246385.85714285713</v>
      </c>
      <c r="BG64" s="78">
        <f t="shared" si="25"/>
        <v>6704215.2361904746</v>
      </c>
      <c r="BH64" s="51">
        <f>+BE$29*BG64+BF64</f>
        <v>1093998.4197608824</v>
      </c>
      <c r="BI64" s="85">
        <f t="shared" si="26"/>
        <v>6299999.9999999991</v>
      </c>
      <c r="BJ64" s="78">
        <f t="shared" si="27"/>
        <v>257142.85714285713</v>
      </c>
      <c r="BK64" s="78">
        <f t="shared" si="28"/>
        <v>6042857.1428571418</v>
      </c>
      <c r="BL64" s="51">
        <f t="shared" si="29"/>
        <v>1021140.0511384137</v>
      </c>
      <c r="BM64" s="85">
        <f t="shared" ref="BM64" si="42">+BO63</f>
        <v>30642857.142857138</v>
      </c>
      <c r="BN64" s="78">
        <f t="shared" si="31"/>
        <v>1114285.7142857143</v>
      </c>
      <c r="BO64" s="78">
        <f t="shared" si="32"/>
        <v>29528571.428571425</v>
      </c>
      <c r="BP64" s="51">
        <f t="shared" si="33"/>
        <v>4847576.9672143562</v>
      </c>
      <c r="BQ64" s="85">
        <f t="shared" ref="BQ64" si="43">+BS63</f>
        <v>7491428.5714285709</v>
      </c>
      <c r="BR64" s="78">
        <f t="shared" si="35"/>
        <v>262857.14285714284</v>
      </c>
      <c r="BS64" s="78">
        <f t="shared" si="36"/>
        <v>7228571.4285714282</v>
      </c>
      <c r="BT64" s="51">
        <f t="shared" si="37"/>
        <v>1176763.9517501728</v>
      </c>
      <c r="BU64" s="79">
        <f t="shared" si="2"/>
        <v>40678744.536543302</v>
      </c>
      <c r="BV64" s="36"/>
      <c r="BW64" s="80">
        <f t="shared" ref="BW64" si="44">+BU64</f>
        <v>40678744.536543302</v>
      </c>
    </row>
    <row r="65" spans="1:76">
      <c r="A65">
        <v>50</v>
      </c>
      <c r="C65" s="37" t="str">
        <f t="shared" si="0"/>
        <v>W Increased ROE</v>
      </c>
      <c r="D65" s="77">
        <f t="shared" si="1"/>
        <v>2022</v>
      </c>
      <c r="E65" s="78">
        <f>+E64</f>
        <v>21613194.738095224</v>
      </c>
      <c r="F65" s="78">
        <f>+F64</f>
        <v>958810.85714285716</v>
      </c>
      <c r="G65" s="78">
        <f t="shared" si="5"/>
        <v>20654383.880952366</v>
      </c>
      <c r="H65" s="42">
        <f>+E$30*G65+F65</f>
        <v>3752462.0852825297</v>
      </c>
      <c r="I65" s="85">
        <f>+I64</f>
        <v>25864761.90476191</v>
      </c>
      <c r="J65" s="78">
        <f>+J64</f>
        <v>1048571.4285714285</v>
      </c>
      <c r="K65" s="78">
        <f t="shared" si="6"/>
        <v>24816190.476190481</v>
      </c>
      <c r="L65" s="51">
        <f>+I$30*K65+J65</f>
        <v>4405136.3787122164</v>
      </c>
      <c r="M65" s="85">
        <f>+M64</f>
        <v>14095238.095238101</v>
      </c>
      <c r="N65" s="78">
        <f>+N64</f>
        <v>571428.57142857148</v>
      </c>
      <c r="O65" s="78">
        <f t="shared" si="7"/>
        <v>13523809.52380953</v>
      </c>
      <c r="P65" s="51">
        <f>+M$30*O65+N65</f>
        <v>2400619.2799521624</v>
      </c>
      <c r="Q65" s="85">
        <f>+Q64</f>
        <v>1409523.8095238106</v>
      </c>
      <c r="R65" s="78">
        <f>+R64</f>
        <v>57142.857142857145</v>
      </c>
      <c r="S65" s="78">
        <f t="shared" si="8"/>
        <v>1352380.9523809536</v>
      </c>
      <c r="T65" s="51">
        <f>+Q$30*S65+R65</f>
        <v>228124.10465644131</v>
      </c>
      <c r="U65" s="85">
        <f>+U64</f>
        <v>1409523.8095238106</v>
      </c>
      <c r="V65" s="78">
        <f>+V64</f>
        <v>57142.857142857145</v>
      </c>
      <c r="W65" s="78">
        <f t="shared" si="9"/>
        <v>1352380.9523809536</v>
      </c>
      <c r="X65" s="51">
        <f>+U$30*W65+V65</f>
        <v>228124.10465644131</v>
      </c>
      <c r="Y65" s="85">
        <f>+Y64</f>
        <v>1409523.8095238106</v>
      </c>
      <c r="Z65" s="78">
        <f>+Z64</f>
        <v>57142.857142857145</v>
      </c>
      <c r="AA65" s="78">
        <f t="shared" si="10"/>
        <v>1352380.9523809536</v>
      </c>
      <c r="AB65" s="51">
        <f>+Y$30*AA65+Z65</f>
        <v>228124.10465644131</v>
      </c>
      <c r="AC65" s="85">
        <f>+AC64</f>
        <v>1428571.4285714296</v>
      </c>
      <c r="AD65" s="78">
        <f>+AD64</f>
        <v>57142.857142857145</v>
      </c>
      <c r="AE65" s="78">
        <f t="shared" si="11"/>
        <v>1371428.5714285725</v>
      </c>
      <c r="AF65" s="51">
        <f>+AC$30*AE65+AD65</f>
        <v>230532.29124113964</v>
      </c>
      <c r="AG65" s="85">
        <f>+AI63</f>
        <v>11566349.742857143</v>
      </c>
      <c r="AH65" s="78">
        <f>+AH64</f>
        <v>453582.34285714285</v>
      </c>
      <c r="AI65" s="78">
        <f t="shared" si="13"/>
        <v>11112767.4</v>
      </c>
      <c r="AJ65" s="51">
        <f>+AG$30*AI65+AH65</f>
        <v>1956662.583544963</v>
      </c>
      <c r="AK65" s="85">
        <f>+AM63</f>
        <v>21525174.385714278</v>
      </c>
      <c r="AL65" s="78">
        <f>+AL64</f>
        <v>844124.48571428575</v>
      </c>
      <c r="AM65" s="78">
        <f t="shared" si="15"/>
        <v>20681049.899999991</v>
      </c>
      <c r="AN65" s="51">
        <f>+AK$30*AM65+AL65</f>
        <v>3641382.4811771265</v>
      </c>
      <c r="AO65" s="85">
        <f>+AQ63</f>
        <v>42680566.714285694</v>
      </c>
      <c r="AP65" s="78">
        <f>+AP64</f>
        <v>1673747.7142857143</v>
      </c>
      <c r="AQ65" s="78">
        <f t="shared" si="17"/>
        <v>41006818.999999978</v>
      </c>
      <c r="AR65" s="51">
        <f>+AO$30*AQ65+AP65</f>
        <v>6858231.4626258006</v>
      </c>
      <c r="AS65" s="85">
        <f>+AU63</f>
        <v>3808209.342857141</v>
      </c>
      <c r="AT65" s="78">
        <f>+AT64</f>
        <v>149341.54285714286</v>
      </c>
      <c r="AU65" s="78">
        <f t="shared" si="19"/>
        <v>3658867.799999998</v>
      </c>
      <c r="AV65" s="51">
        <f>+AS$30*AU65+AT65</f>
        <v>611931.45129224588</v>
      </c>
      <c r="AW65" s="85">
        <f>+AY63</f>
        <v>14406363.74285714</v>
      </c>
      <c r="AX65" s="78">
        <f>+AX64</f>
        <v>543480.11428571434</v>
      </c>
      <c r="AY65" s="78">
        <f t="shared" si="21"/>
        <v>13862883.628571425</v>
      </c>
      <c r="AZ65" s="51">
        <f>+AW$30*AY65+AX65</f>
        <v>2418532.9891493041</v>
      </c>
      <c r="BA65" s="85">
        <f>+BC63</f>
        <v>41200683.418666646</v>
      </c>
      <c r="BB65" s="78">
        <f>+BB64</f>
        <v>1481495.7768571428</v>
      </c>
      <c r="BC65" s="78">
        <f t="shared" si="23"/>
        <v>39719187.641809501</v>
      </c>
      <c r="BD65" s="51">
        <f>+BA$30*BC65+BB65</f>
        <v>6503184.5556485895</v>
      </c>
      <c r="BE65" s="85">
        <f>+BG63</f>
        <v>6950601.0933333319</v>
      </c>
      <c r="BF65" s="78">
        <f>+BF64</f>
        <v>246385.85714285713</v>
      </c>
      <c r="BG65" s="78">
        <f t="shared" si="25"/>
        <v>6704215.2361904746</v>
      </c>
      <c r="BH65" s="51">
        <f>+BE$30*BG65+BF65</f>
        <v>1093998.4197608824</v>
      </c>
      <c r="BI65" s="85">
        <f>+BI64</f>
        <v>6299999.9999999991</v>
      </c>
      <c r="BJ65" s="78">
        <f t="shared" si="27"/>
        <v>257142.85714285713</v>
      </c>
      <c r="BK65" s="78">
        <f t="shared" si="28"/>
        <v>6042857.1428571418</v>
      </c>
      <c r="BL65" s="51">
        <f t="shared" si="29"/>
        <v>1021140.0511384137</v>
      </c>
      <c r="BM65" s="85">
        <f>+BM64</f>
        <v>30642857.142857138</v>
      </c>
      <c r="BN65" s="78">
        <f t="shared" si="31"/>
        <v>1114285.7142857143</v>
      </c>
      <c r="BO65" s="78">
        <f t="shared" si="32"/>
        <v>29528571.428571425</v>
      </c>
      <c r="BP65" s="51">
        <f t="shared" si="33"/>
        <v>4847576.9672143562</v>
      </c>
      <c r="BQ65" s="85">
        <f>+BQ64</f>
        <v>7491428.5714285709</v>
      </c>
      <c r="BR65" s="78">
        <f t="shared" si="35"/>
        <v>262857.14285714284</v>
      </c>
      <c r="BS65" s="78">
        <f t="shared" si="36"/>
        <v>7228571.4285714282</v>
      </c>
      <c r="BT65" s="51">
        <f t="shared" si="37"/>
        <v>1176763.9517501728</v>
      </c>
      <c r="BU65" s="79">
        <f t="shared" si="2"/>
        <v>41602527.262459226</v>
      </c>
      <c r="BV65" s="82">
        <f t="shared" si="4"/>
        <v>41602527.262459226</v>
      </c>
      <c r="BW65" s="38"/>
      <c r="BX65" s="81">
        <f>BV65-BW64</f>
        <v>923782.72591592371</v>
      </c>
    </row>
    <row r="66" spans="1:76">
      <c r="A66">
        <v>51</v>
      </c>
      <c r="C66" s="37" t="str">
        <f t="shared" si="0"/>
        <v>Base FCR</v>
      </c>
      <c r="D66" s="77">
        <f t="shared" si="1"/>
        <v>2023</v>
      </c>
      <c r="E66" s="78">
        <f>+G65</f>
        <v>20654383.880952366</v>
      </c>
      <c r="F66" s="78">
        <f>+E$32</f>
        <v>958810.85714285716</v>
      </c>
      <c r="G66" s="78">
        <f t="shared" si="5"/>
        <v>19695573.023809507</v>
      </c>
      <c r="H66" s="42">
        <f>+E$29*G66+F66</f>
        <v>3448918.1306718248</v>
      </c>
      <c r="I66" s="85">
        <f>+K65</f>
        <v>24816190.476190481</v>
      </c>
      <c r="J66" s="78">
        <f>+I$32</f>
        <v>1048571.4285714285</v>
      </c>
      <c r="K66" s="78">
        <f t="shared" si="6"/>
        <v>23767619.047619052</v>
      </c>
      <c r="L66" s="51">
        <f>+I$29*K66+J66</f>
        <v>4053506.6489580506</v>
      </c>
      <c r="M66" s="85">
        <f>+O65</f>
        <v>13523809.52380953</v>
      </c>
      <c r="N66" s="78">
        <f>+M$32</f>
        <v>571428.57142857148</v>
      </c>
      <c r="O66" s="78">
        <f t="shared" si="7"/>
        <v>12952380.952380959</v>
      </c>
      <c r="P66" s="51">
        <f>+M$29*O66+N66</f>
        <v>2208995.4490234614</v>
      </c>
      <c r="Q66" s="85">
        <f>+S65</f>
        <v>1352380.9523809536</v>
      </c>
      <c r="R66" s="78">
        <f>+Q$32</f>
        <v>57142.857142857145</v>
      </c>
      <c r="S66" s="78">
        <f t="shared" si="8"/>
        <v>1295238.0952380965</v>
      </c>
      <c r="T66" s="51">
        <f>+Q$29*S66+R66</f>
        <v>220899.54490234621</v>
      </c>
      <c r="U66" s="85">
        <f>+W65</f>
        <v>1352380.9523809536</v>
      </c>
      <c r="V66" s="78">
        <f>+U$32</f>
        <v>57142.857142857145</v>
      </c>
      <c r="W66" s="78">
        <f t="shared" si="9"/>
        <v>1295238.0952380965</v>
      </c>
      <c r="X66" s="51">
        <f>+U$29*W66+V66</f>
        <v>220899.54490234621</v>
      </c>
      <c r="Y66" s="85">
        <f>+AA65</f>
        <v>1352380.9523809536</v>
      </c>
      <c r="Z66" s="78">
        <f>+Y$32</f>
        <v>57142.857142857145</v>
      </c>
      <c r="AA66" s="78">
        <f t="shared" si="10"/>
        <v>1295238.0952380965</v>
      </c>
      <c r="AB66" s="51">
        <f>+Y$29*AA66+Z66</f>
        <v>220899.54490234621</v>
      </c>
      <c r="AC66" s="85">
        <f>+AE65</f>
        <v>1371428.5714285725</v>
      </c>
      <c r="AD66" s="78">
        <f>+AC$32</f>
        <v>57142.857142857145</v>
      </c>
      <c r="AE66" s="78">
        <f t="shared" si="11"/>
        <v>1314285.7142857155</v>
      </c>
      <c r="AF66" s="51">
        <f>+AC$29*AE66+AD66</f>
        <v>223307.7314870446</v>
      </c>
      <c r="AG66" s="85">
        <f t="shared" si="12"/>
        <v>11112767.4</v>
      </c>
      <c r="AH66" s="78">
        <f>+AG$32</f>
        <v>453582.34285714285</v>
      </c>
      <c r="AI66" s="78">
        <f t="shared" si="13"/>
        <v>10659185.057142857</v>
      </c>
      <c r="AJ66" s="51">
        <f>+AG$29*AI66+AH66</f>
        <v>1801220.9319246507</v>
      </c>
      <c r="AK66" s="85">
        <f t="shared" si="14"/>
        <v>20681049.899999991</v>
      </c>
      <c r="AL66" s="78">
        <f>+AK$32</f>
        <v>844124.48571428575</v>
      </c>
      <c r="AM66" s="78">
        <f t="shared" si="15"/>
        <v>19836925.414285704</v>
      </c>
      <c r="AN66" s="51">
        <f>+AK$29*AM66+AL66</f>
        <v>3352102.9130923939</v>
      </c>
      <c r="AO66" s="85">
        <f t="shared" si="16"/>
        <v>41006818.999999978</v>
      </c>
      <c r="AP66" s="78">
        <f>+AO$32</f>
        <v>1673747.7142857143</v>
      </c>
      <c r="AQ66" s="78">
        <f t="shared" si="17"/>
        <v>39333071.285714261</v>
      </c>
      <c r="AR66" s="51">
        <f>+AO$29*AQ66+AP66</f>
        <v>6646619.8810608992</v>
      </c>
      <c r="AS66" s="85">
        <f t="shared" si="18"/>
        <v>3658867.799999998</v>
      </c>
      <c r="AT66" s="78">
        <f>+AS$32</f>
        <v>149341.54285714286</v>
      </c>
      <c r="AU66" s="78">
        <f t="shared" si="19"/>
        <v>3509526.2571428549</v>
      </c>
      <c r="AV66" s="51">
        <f>+AS$29*AU66+AT66</f>
        <v>593050.23053979268</v>
      </c>
      <c r="AW66" s="85">
        <f t="shared" ref="AW66" si="45">+AY65</f>
        <v>13862883.628571425</v>
      </c>
      <c r="AX66" s="78">
        <f>+AW$32</f>
        <v>543480.11428571434</v>
      </c>
      <c r="AY66" s="78">
        <f t="shared" si="21"/>
        <v>13319403.51428571</v>
      </c>
      <c r="AZ66" s="51">
        <f>+AW$29*AY66+AX66</f>
        <v>2227449.5793982884</v>
      </c>
      <c r="BA66" s="85">
        <f t="shared" ref="BA66" si="46">+BC65</f>
        <v>39719187.641809501</v>
      </c>
      <c r="BB66" s="78">
        <f>+BA$32</f>
        <v>1481495.7768571428</v>
      </c>
      <c r="BC66" s="78">
        <f t="shared" si="23"/>
        <v>38237691.864952356</v>
      </c>
      <c r="BD66" s="51">
        <f>+BA$29*BC66+BB66</f>
        <v>6315879.3472550698</v>
      </c>
      <c r="BE66" s="85">
        <f t="shared" ref="BE66" si="47">+BG65</f>
        <v>6704215.2361904746</v>
      </c>
      <c r="BF66" s="78">
        <f>+BE$32</f>
        <v>246385.85714285713</v>
      </c>
      <c r="BG66" s="78">
        <f t="shared" si="25"/>
        <v>6457829.3790476173</v>
      </c>
      <c r="BH66" s="51">
        <f>+BE$29*BG66+BF66</f>
        <v>1062847.9061797634</v>
      </c>
      <c r="BI66" s="85">
        <f t="shared" si="26"/>
        <v>6042857.1428571418</v>
      </c>
      <c r="BJ66" s="78">
        <f>+BI$32</f>
        <v>257142.85714285713</v>
      </c>
      <c r="BK66" s="78">
        <f t="shared" ref="BK66:BK75" si="48">+BI66-BJ66</f>
        <v>5785714.2857142845</v>
      </c>
      <c r="BL66" s="51">
        <f>+BI$29*BK66+BJ66</f>
        <v>988629.53224498581</v>
      </c>
      <c r="BM66" s="85">
        <f t="shared" ref="BM66" si="49">+BO65</f>
        <v>29528571.428571425</v>
      </c>
      <c r="BN66" s="78">
        <f t="shared" si="31"/>
        <v>1114285.7142857143</v>
      </c>
      <c r="BO66" s="78">
        <f t="shared" si="32"/>
        <v>28414285.714285713</v>
      </c>
      <c r="BP66" s="51">
        <f t="shared" si="33"/>
        <v>4706698.0520095024</v>
      </c>
      <c r="BQ66" s="85">
        <f t="shared" ref="BQ66" si="50">+BS65</f>
        <v>7228571.4285714282</v>
      </c>
      <c r="BR66" s="78">
        <f t="shared" si="35"/>
        <v>262857.14285714284</v>
      </c>
      <c r="BS66" s="78">
        <f t="shared" si="36"/>
        <v>6965714.2857142854</v>
      </c>
      <c r="BT66" s="51">
        <f t="shared" si="37"/>
        <v>1143530.9768813355</v>
      </c>
      <c r="BU66" s="79">
        <f t="shared" si="2"/>
        <v>39435455.945434101</v>
      </c>
      <c r="BV66" s="36"/>
      <c r="BW66" s="80">
        <f t="shared" ref="BW66" si="51">+BU66</f>
        <v>39435455.945434101</v>
      </c>
    </row>
    <row r="67" spans="1:76">
      <c r="A67">
        <v>52</v>
      </c>
      <c r="C67" s="37" t="str">
        <f t="shared" si="0"/>
        <v>W Increased ROE</v>
      </c>
      <c r="D67" s="77">
        <f t="shared" si="1"/>
        <v>2023</v>
      </c>
      <c r="E67" s="78">
        <f>+E66</f>
        <v>20654383.880952366</v>
      </c>
      <c r="F67" s="78">
        <f>+F66</f>
        <v>958810.85714285716</v>
      </c>
      <c r="G67" s="78">
        <f t="shared" si="5"/>
        <v>19695573.023809507</v>
      </c>
      <c r="H67" s="42">
        <f>+E$30*G67+F67</f>
        <v>3622776.1481928737</v>
      </c>
      <c r="I67" s="85">
        <f>+I66</f>
        <v>24816190.476190481</v>
      </c>
      <c r="J67" s="78">
        <f>+J66</f>
        <v>1048571.4285714285</v>
      </c>
      <c r="K67" s="78">
        <f t="shared" si="6"/>
        <v>23767619.047619052</v>
      </c>
      <c r="L67" s="51">
        <f>+I$30*K67+J67</f>
        <v>4263309.6906780992</v>
      </c>
      <c r="M67" s="85">
        <f>+M66</f>
        <v>13523809.52380953</v>
      </c>
      <c r="N67" s="78">
        <f>+N66</f>
        <v>571428.57142857148</v>
      </c>
      <c r="O67" s="78">
        <f t="shared" si="7"/>
        <v>12952380.952380959</v>
      </c>
      <c r="P67" s="51">
        <f>+M$30*O67+N67</f>
        <v>2323329.5317046866</v>
      </c>
      <c r="Q67" s="85">
        <f>+Q66</f>
        <v>1352380.9523809536</v>
      </c>
      <c r="R67" s="78">
        <f>+R66</f>
        <v>57142.857142857145</v>
      </c>
      <c r="S67" s="78">
        <f t="shared" si="8"/>
        <v>1295238.0952380965</v>
      </c>
      <c r="T67" s="51">
        <f>+Q$30*S67+R67</f>
        <v>220899.54490234621</v>
      </c>
      <c r="U67" s="85">
        <f>+U66</f>
        <v>1352380.9523809536</v>
      </c>
      <c r="V67" s="78">
        <f>+V66</f>
        <v>57142.857142857145</v>
      </c>
      <c r="W67" s="78">
        <f t="shared" si="9"/>
        <v>1295238.0952380965</v>
      </c>
      <c r="X67" s="51">
        <f>+U$30*W67+V67</f>
        <v>220899.54490234621</v>
      </c>
      <c r="Y67" s="85">
        <f>+Y66</f>
        <v>1352380.9523809536</v>
      </c>
      <c r="Z67" s="78">
        <f>+Z66</f>
        <v>57142.857142857145</v>
      </c>
      <c r="AA67" s="78">
        <f t="shared" si="10"/>
        <v>1295238.0952380965</v>
      </c>
      <c r="AB67" s="51">
        <f>+Y$30*AA67+Z67</f>
        <v>220899.54490234621</v>
      </c>
      <c r="AC67" s="85">
        <f>+AC66</f>
        <v>1371428.5714285725</v>
      </c>
      <c r="AD67" s="78">
        <f>+AD66</f>
        <v>57142.857142857145</v>
      </c>
      <c r="AE67" s="78">
        <f t="shared" si="11"/>
        <v>1314285.7142857155</v>
      </c>
      <c r="AF67" s="51">
        <f>+AC$30*AE67+AD67</f>
        <v>223307.7314870446</v>
      </c>
      <c r="AG67" s="85">
        <f>+AI65</f>
        <v>11112767.4</v>
      </c>
      <c r="AH67" s="78">
        <f>+AH66</f>
        <v>453582.34285714285</v>
      </c>
      <c r="AI67" s="78">
        <f t="shared" si="13"/>
        <v>10659185.057142857</v>
      </c>
      <c r="AJ67" s="51">
        <f>+AG$30*AI67+AH67</f>
        <v>1895312.3696393378</v>
      </c>
      <c r="AK67" s="85">
        <f>+AM65</f>
        <v>20681049.899999991</v>
      </c>
      <c r="AL67" s="78">
        <f>+AL66</f>
        <v>844124.48571428575</v>
      </c>
      <c r="AM67" s="78">
        <f t="shared" si="15"/>
        <v>19836925.414285704</v>
      </c>
      <c r="AN67" s="51">
        <f>+AK$30*AM67+AL67</f>
        <v>3527208.685443949</v>
      </c>
      <c r="AO67" s="85">
        <f>+AQ65</f>
        <v>41006818.999999978</v>
      </c>
      <c r="AP67" s="78">
        <f>+AP66</f>
        <v>1673747.7142857143</v>
      </c>
      <c r="AQ67" s="78">
        <f t="shared" si="17"/>
        <v>39333071.285714261</v>
      </c>
      <c r="AR67" s="51">
        <f>+AO$30*AQ67+AP67</f>
        <v>6646619.8810608992</v>
      </c>
      <c r="AS67" s="85">
        <f>+AU65</f>
        <v>3658867.799999998</v>
      </c>
      <c r="AT67" s="78">
        <f>+AT66</f>
        <v>149341.54285714286</v>
      </c>
      <c r="AU67" s="78">
        <f t="shared" si="19"/>
        <v>3509526.2571428549</v>
      </c>
      <c r="AV67" s="51">
        <f>+AS$30*AU67+AT67</f>
        <v>593050.23053979268</v>
      </c>
      <c r="AW67" s="85">
        <f>+AY65</f>
        <v>13862883.628571425</v>
      </c>
      <c r="AX67" s="78">
        <f>+AX66</f>
        <v>543480.11428571434</v>
      </c>
      <c r="AY67" s="78">
        <f t="shared" si="21"/>
        <v>13319403.51428571</v>
      </c>
      <c r="AZ67" s="51">
        <f>+AW$30*AY67+AX67</f>
        <v>2345023.4670306626</v>
      </c>
      <c r="BA67" s="85">
        <f>+BC65</f>
        <v>39719187.641809501</v>
      </c>
      <c r="BB67" s="78">
        <f>+BB66</f>
        <v>1481495.7768571428</v>
      </c>
      <c r="BC67" s="78">
        <f t="shared" si="23"/>
        <v>38237691.864952356</v>
      </c>
      <c r="BD67" s="51">
        <f>+BA$30*BC67+BB67</f>
        <v>6315879.3472550698</v>
      </c>
      <c r="BE67" s="85">
        <f>+BG65</f>
        <v>6704215.2361904746</v>
      </c>
      <c r="BF67" s="78">
        <f>+BF66</f>
        <v>246385.85714285713</v>
      </c>
      <c r="BG67" s="78">
        <f t="shared" si="25"/>
        <v>6457829.3790476173</v>
      </c>
      <c r="BH67" s="51">
        <f>+BE$30*BG67+BF67</f>
        <v>1062847.9061797634</v>
      </c>
      <c r="BI67" s="85">
        <f>+BI66</f>
        <v>6042857.1428571418</v>
      </c>
      <c r="BJ67" s="78">
        <f>+BJ66</f>
        <v>257142.85714285713</v>
      </c>
      <c r="BK67" s="78">
        <f t="shared" si="48"/>
        <v>5785714.2857142845</v>
      </c>
      <c r="BL67" s="51">
        <f>+BI$30*BK67+BJ67</f>
        <v>988629.53224498581</v>
      </c>
      <c r="BM67" s="85">
        <f>+BM66</f>
        <v>29528571.428571425</v>
      </c>
      <c r="BN67" s="78">
        <f t="shared" si="31"/>
        <v>1114285.7142857143</v>
      </c>
      <c r="BO67" s="78">
        <f t="shared" si="32"/>
        <v>28414285.714285713</v>
      </c>
      <c r="BP67" s="51">
        <f t="shared" si="33"/>
        <v>4706698.0520095024</v>
      </c>
      <c r="BQ67" s="85">
        <f>+BQ66</f>
        <v>7228571.4285714282</v>
      </c>
      <c r="BR67" s="78">
        <f t="shared" si="35"/>
        <v>262857.14285714284</v>
      </c>
      <c r="BS67" s="78">
        <f t="shared" si="36"/>
        <v>6965714.2857142854</v>
      </c>
      <c r="BT67" s="51">
        <f t="shared" si="37"/>
        <v>1143530.9768813355</v>
      </c>
      <c r="BU67" s="79">
        <f t="shared" si="2"/>
        <v>40320222.18505504</v>
      </c>
      <c r="BV67" s="82">
        <f t="shared" si="4"/>
        <v>40320222.18505504</v>
      </c>
      <c r="BW67" s="38"/>
      <c r="BX67" s="81">
        <f>BV67-BW66</f>
        <v>884766.2396209389</v>
      </c>
    </row>
    <row r="68" spans="1:76">
      <c r="A68">
        <v>53</v>
      </c>
      <c r="C68" s="37" t="str">
        <f t="shared" si="0"/>
        <v>Base FCR</v>
      </c>
      <c r="D68" s="77">
        <f t="shared" si="1"/>
        <v>2024</v>
      </c>
      <c r="E68" s="78">
        <f>+G67</f>
        <v>19695573.023809507</v>
      </c>
      <c r="F68" s="78">
        <f>+E$32</f>
        <v>958810.85714285716</v>
      </c>
      <c r="G68" s="78">
        <f t="shared" si="5"/>
        <v>18736762.166666649</v>
      </c>
      <c r="H68" s="42">
        <f>+E$29*G68+F68</f>
        <v>3327695.8698915099</v>
      </c>
      <c r="I68" s="85">
        <f>+K67</f>
        <v>23767619.047619052</v>
      </c>
      <c r="J68" s="78">
        <f>+I$32</f>
        <v>1048571.4285714285</v>
      </c>
      <c r="K68" s="78">
        <f t="shared" si="6"/>
        <v>22719047.619047623</v>
      </c>
      <c r="L68" s="51">
        <f>+I$29*K68+J68</f>
        <v>3920935.9774704059</v>
      </c>
      <c r="M68" s="85">
        <f>+O67</f>
        <v>12952380.952380959</v>
      </c>
      <c r="N68" s="78">
        <f>+M$32</f>
        <v>571428.57142857148</v>
      </c>
      <c r="O68" s="78">
        <f t="shared" si="7"/>
        <v>12380952.380952388</v>
      </c>
      <c r="P68" s="51">
        <f>+M$29*O68+N68</f>
        <v>2136749.8514825106</v>
      </c>
      <c r="Q68" s="85">
        <f>+S67</f>
        <v>1295238.0952380965</v>
      </c>
      <c r="R68" s="78">
        <f>+Q$32</f>
        <v>57142.857142857145</v>
      </c>
      <c r="S68" s="78">
        <f t="shared" si="8"/>
        <v>1238095.2380952395</v>
      </c>
      <c r="T68" s="51">
        <f>+Q$29*S68+R68</f>
        <v>213674.98514825111</v>
      </c>
      <c r="U68" s="85">
        <f>+W67</f>
        <v>1295238.0952380965</v>
      </c>
      <c r="V68" s="78">
        <f>+U$32</f>
        <v>57142.857142857145</v>
      </c>
      <c r="W68" s="78">
        <f t="shared" si="9"/>
        <v>1238095.2380952395</v>
      </c>
      <c r="X68" s="51">
        <f>+U$29*W68+V68</f>
        <v>213674.98514825111</v>
      </c>
      <c r="Y68" s="85">
        <f>+AA67</f>
        <v>1295238.0952380965</v>
      </c>
      <c r="Z68" s="78">
        <f>+Y$32</f>
        <v>57142.857142857145</v>
      </c>
      <c r="AA68" s="78">
        <f t="shared" si="10"/>
        <v>1238095.2380952395</v>
      </c>
      <c r="AB68" s="51">
        <f>+Y$29*AA68+Z68</f>
        <v>213674.98514825111</v>
      </c>
      <c r="AC68" s="85">
        <f>+AE67</f>
        <v>1314285.7142857155</v>
      </c>
      <c r="AD68" s="78">
        <f>+AC$32</f>
        <v>57142.857142857145</v>
      </c>
      <c r="AE68" s="78">
        <f t="shared" si="11"/>
        <v>1257142.8571428584</v>
      </c>
      <c r="AF68" s="51">
        <f>+AC$29*AE68+AD68</f>
        <v>216083.1717329495</v>
      </c>
      <c r="AG68" s="85">
        <f t="shared" si="12"/>
        <v>10659185.057142857</v>
      </c>
      <c r="AH68" s="78">
        <f>+AG$32</f>
        <v>453582.34285714285</v>
      </c>
      <c r="AI68" s="78">
        <f t="shared" si="13"/>
        <v>10205602.714285715</v>
      </c>
      <c r="AJ68" s="51">
        <f>+AG$29*AI68+AH68</f>
        <v>1743874.6089856077</v>
      </c>
      <c r="AK68" s="85">
        <f t="shared" si="14"/>
        <v>19836925.414285704</v>
      </c>
      <c r="AL68" s="78">
        <f>+AK$32</f>
        <v>844124.48571428575</v>
      </c>
      <c r="AM68" s="78">
        <f t="shared" si="15"/>
        <v>18992800.928571418</v>
      </c>
      <c r="AN68" s="51">
        <f>+AK$29*AM68+AL68</f>
        <v>3245380.426820985</v>
      </c>
      <c r="AO68" s="85">
        <f t="shared" si="16"/>
        <v>39333071.285714261</v>
      </c>
      <c r="AP68" s="78">
        <f>+AO$32</f>
        <v>1673747.7142857143</v>
      </c>
      <c r="AQ68" s="78">
        <f t="shared" si="17"/>
        <v>37659323.571428545</v>
      </c>
      <c r="AR68" s="51">
        <f>+AO$29*AQ68+AP68</f>
        <v>6435008.2994959969</v>
      </c>
      <c r="AS68" s="85">
        <f t="shared" si="18"/>
        <v>3509526.2571428549</v>
      </c>
      <c r="AT68" s="78">
        <f>+AS$32</f>
        <v>149341.54285714286</v>
      </c>
      <c r="AU68" s="78">
        <f t="shared" si="19"/>
        <v>3360184.7142857118</v>
      </c>
      <c r="AV68" s="51">
        <f>+AS$29*AU68+AT68</f>
        <v>574169.00978733948</v>
      </c>
      <c r="AW68" s="85">
        <f t="shared" ref="AW68" si="52">+AY67</f>
        <v>13319403.51428571</v>
      </c>
      <c r="AX68" s="78">
        <f>+AW$32</f>
        <v>543480.11428571434</v>
      </c>
      <c r="AY68" s="78">
        <f t="shared" si="21"/>
        <v>12775923.399999995</v>
      </c>
      <c r="AZ68" s="51">
        <f>+AW$29*AY68+AX68</f>
        <v>2158737.4995839456</v>
      </c>
      <c r="BA68" s="85">
        <f t="shared" ref="BA68" si="53">+BC67</f>
        <v>38237691.864952356</v>
      </c>
      <c r="BB68" s="78">
        <f>+BA$32</f>
        <v>1481495.7768571428</v>
      </c>
      <c r="BC68" s="78">
        <f t="shared" si="23"/>
        <v>36756196.08809521</v>
      </c>
      <c r="BD68" s="51">
        <f>+BA$29*BC68+BB68</f>
        <v>6128574.13886155</v>
      </c>
      <c r="BE68" s="85">
        <f t="shared" ref="BE68" si="54">+BG67</f>
        <v>6457829.3790476173</v>
      </c>
      <c r="BF68" s="78">
        <f>+BE$32</f>
        <v>246385.85714285713</v>
      </c>
      <c r="BG68" s="78">
        <f t="shared" si="25"/>
        <v>6211443.52190476</v>
      </c>
      <c r="BH68" s="51">
        <f>+BE$29*BG68+BF68</f>
        <v>1031697.3925986446</v>
      </c>
      <c r="BI68" s="85">
        <f t="shared" si="26"/>
        <v>5785714.2857142845</v>
      </c>
      <c r="BJ68" s="78">
        <f>+BI$32</f>
        <v>257142.85714285713</v>
      </c>
      <c r="BK68" s="78">
        <f t="shared" si="48"/>
        <v>5528571.4285714272</v>
      </c>
      <c r="BL68" s="51">
        <f>+BI$29*BK68+BJ68</f>
        <v>956119.01335155789</v>
      </c>
      <c r="BM68" s="85">
        <f t="shared" ref="BM68" si="55">+BO67</f>
        <v>28414285.714285713</v>
      </c>
      <c r="BN68" s="78">
        <f t="shared" si="31"/>
        <v>1114285.7142857143</v>
      </c>
      <c r="BO68" s="78">
        <f t="shared" si="32"/>
        <v>27300000</v>
      </c>
      <c r="BP68" s="51">
        <f t="shared" si="33"/>
        <v>4565819.1368046477</v>
      </c>
      <c r="BQ68" s="85">
        <f t="shared" ref="BQ68" si="56">+BS67</f>
        <v>6965714.2857142854</v>
      </c>
      <c r="BR68" s="78">
        <f t="shared" si="35"/>
        <v>262857.14285714284</v>
      </c>
      <c r="BS68" s="78">
        <f t="shared" si="36"/>
        <v>6702857.1428571427</v>
      </c>
      <c r="BT68" s="51">
        <f t="shared" si="37"/>
        <v>1110298.002012498</v>
      </c>
      <c r="BU68" s="79">
        <f t="shared" si="2"/>
        <v>38192167.3543249</v>
      </c>
      <c r="BV68" s="36"/>
      <c r="BW68" s="80">
        <f t="shared" ref="BW68" si="57">+BU68</f>
        <v>38192167.3543249</v>
      </c>
    </row>
    <row r="69" spans="1:76">
      <c r="A69">
        <v>54</v>
      </c>
      <c r="C69" s="37" t="str">
        <f t="shared" si="0"/>
        <v>W Increased ROE</v>
      </c>
      <c r="D69" s="77">
        <f t="shared" si="1"/>
        <v>2024</v>
      </c>
      <c r="E69" s="78">
        <f>+E68</f>
        <v>19695573.023809507</v>
      </c>
      <c r="F69" s="78">
        <f>+F68</f>
        <v>958810.85714285716</v>
      </c>
      <c r="G69" s="78">
        <f t="shared" si="5"/>
        <v>18736762.166666649</v>
      </c>
      <c r="H69" s="42">
        <f>+E$30*G69+F69</f>
        <v>3493090.2111032172</v>
      </c>
      <c r="I69" s="85">
        <f>+I68</f>
        <v>23767619.047619052</v>
      </c>
      <c r="J69" s="78">
        <f>+J68</f>
        <v>1048571.4285714285</v>
      </c>
      <c r="K69" s="78">
        <f t="shared" si="6"/>
        <v>22719047.619047623</v>
      </c>
      <c r="L69" s="51">
        <f>+I$30*K69+J69</f>
        <v>4121483.0026439815</v>
      </c>
      <c r="M69" s="85">
        <f>+M68</f>
        <v>12952380.952380959</v>
      </c>
      <c r="N69" s="78">
        <f>+N68</f>
        <v>571428.57142857148</v>
      </c>
      <c r="O69" s="78">
        <f t="shared" si="7"/>
        <v>12380952.380952388</v>
      </c>
      <c r="P69" s="51">
        <f>+M$30*O69+N69</f>
        <v>2246039.7834572112</v>
      </c>
      <c r="Q69" s="85">
        <f>+Q68</f>
        <v>1295238.0952380965</v>
      </c>
      <c r="R69" s="78">
        <f>+R68</f>
        <v>57142.857142857145</v>
      </c>
      <c r="S69" s="78">
        <f t="shared" si="8"/>
        <v>1238095.2380952395</v>
      </c>
      <c r="T69" s="51">
        <f>+Q$30*S69+R69</f>
        <v>213674.98514825111</v>
      </c>
      <c r="U69" s="85">
        <f>+U68</f>
        <v>1295238.0952380965</v>
      </c>
      <c r="V69" s="78">
        <f>+V68</f>
        <v>57142.857142857145</v>
      </c>
      <c r="W69" s="78">
        <f t="shared" si="9"/>
        <v>1238095.2380952395</v>
      </c>
      <c r="X69" s="51">
        <f>+U$30*W69+V69</f>
        <v>213674.98514825111</v>
      </c>
      <c r="Y69" s="85">
        <f>+Y68</f>
        <v>1295238.0952380965</v>
      </c>
      <c r="Z69" s="78">
        <f>+Z68</f>
        <v>57142.857142857145</v>
      </c>
      <c r="AA69" s="78">
        <f t="shared" si="10"/>
        <v>1238095.2380952395</v>
      </c>
      <c r="AB69" s="51">
        <f>+Y$30*AA69+Z69</f>
        <v>213674.98514825111</v>
      </c>
      <c r="AC69" s="85">
        <f>+AC68</f>
        <v>1314285.7142857155</v>
      </c>
      <c r="AD69" s="78">
        <f>+AD68</f>
        <v>57142.857142857145</v>
      </c>
      <c r="AE69" s="78">
        <f t="shared" si="11"/>
        <v>1257142.8571428584</v>
      </c>
      <c r="AF69" s="51">
        <f>+AC$30*AE69+AD69</f>
        <v>216083.1717329495</v>
      </c>
      <c r="AG69" s="85">
        <f>+AI67</f>
        <v>10659185.057142857</v>
      </c>
      <c r="AH69" s="78">
        <f>+AH68</f>
        <v>453582.34285714285</v>
      </c>
      <c r="AI69" s="78">
        <f t="shared" si="13"/>
        <v>10205602.714285715</v>
      </c>
      <c r="AJ69" s="51">
        <f>+AG$30*AI69+AH69</f>
        <v>1833962.1557337125</v>
      </c>
      <c r="AK69" s="85">
        <f>+AM67</f>
        <v>19836925.414285704</v>
      </c>
      <c r="AL69" s="78">
        <f>+AL68</f>
        <v>844124.48571428575</v>
      </c>
      <c r="AM69" s="78">
        <f t="shared" si="15"/>
        <v>18992800.928571418</v>
      </c>
      <c r="AN69" s="51">
        <f>+AK$30*AM69+AL69</f>
        <v>3413034.8897107719</v>
      </c>
      <c r="AO69" s="85">
        <f>+AQ67</f>
        <v>39333071.285714261</v>
      </c>
      <c r="AP69" s="78">
        <f>+AP68</f>
        <v>1673747.7142857143</v>
      </c>
      <c r="AQ69" s="78">
        <f t="shared" si="17"/>
        <v>37659323.571428545</v>
      </c>
      <c r="AR69" s="51">
        <f>+AO$30*AQ69+AP69</f>
        <v>6435008.2994959969</v>
      </c>
      <c r="AS69" s="85">
        <f>+AU67</f>
        <v>3509526.2571428549</v>
      </c>
      <c r="AT69" s="78">
        <f>+AT68</f>
        <v>149341.54285714286</v>
      </c>
      <c r="AU69" s="78">
        <f t="shared" si="19"/>
        <v>3360184.7142857118</v>
      </c>
      <c r="AV69" s="51">
        <f>+AS$30*AU69+AT69</f>
        <v>574169.00978733948</v>
      </c>
      <c r="AW69" s="85">
        <f>+AY67</f>
        <v>13319403.51428571</v>
      </c>
      <c r="AX69" s="78">
        <f>+AX68</f>
        <v>543480.11428571434</v>
      </c>
      <c r="AY69" s="78">
        <f t="shared" si="21"/>
        <v>12775923.399999995</v>
      </c>
      <c r="AZ69" s="51">
        <f>+AW$30*AY69+AX69</f>
        <v>2271513.9449120215</v>
      </c>
      <c r="BA69" s="85">
        <f>+BC67</f>
        <v>38237691.864952356</v>
      </c>
      <c r="BB69" s="78">
        <f>+BB68</f>
        <v>1481495.7768571428</v>
      </c>
      <c r="BC69" s="78">
        <f t="shared" si="23"/>
        <v>36756196.08809521</v>
      </c>
      <c r="BD69" s="51">
        <f>+BA$30*BC69+BB69</f>
        <v>6128574.13886155</v>
      </c>
      <c r="BE69" s="85">
        <f>+BG67</f>
        <v>6457829.3790476173</v>
      </c>
      <c r="BF69" s="78">
        <f>+BF68</f>
        <v>246385.85714285713</v>
      </c>
      <c r="BG69" s="78">
        <f t="shared" si="25"/>
        <v>6211443.52190476</v>
      </c>
      <c r="BH69" s="51">
        <f>+BE$30*BG69+BF69</f>
        <v>1031697.3925986446</v>
      </c>
      <c r="BI69" s="85">
        <f>+BI68</f>
        <v>5785714.2857142845</v>
      </c>
      <c r="BJ69" s="78">
        <f>+BJ68</f>
        <v>257142.85714285713</v>
      </c>
      <c r="BK69" s="78">
        <f t="shared" si="48"/>
        <v>5528571.4285714272</v>
      </c>
      <c r="BL69" s="51">
        <f>+BI$30*BK69+BJ69</f>
        <v>956119.01335155789</v>
      </c>
      <c r="BM69" s="85">
        <f>+BM68</f>
        <v>28414285.714285713</v>
      </c>
      <c r="BN69" s="78">
        <f t="shared" si="31"/>
        <v>1114285.7142857143</v>
      </c>
      <c r="BO69" s="78">
        <f t="shared" si="32"/>
        <v>27300000</v>
      </c>
      <c r="BP69" s="51">
        <f t="shared" si="33"/>
        <v>4565819.1368046477</v>
      </c>
      <c r="BQ69" s="85">
        <f>+BQ68</f>
        <v>6965714.2857142854</v>
      </c>
      <c r="BR69" s="78">
        <f t="shared" si="35"/>
        <v>262857.14285714284</v>
      </c>
      <c r="BS69" s="78">
        <f t="shared" si="36"/>
        <v>6702857.1428571427</v>
      </c>
      <c r="BT69" s="51">
        <f t="shared" si="37"/>
        <v>1110298.002012498</v>
      </c>
      <c r="BU69" s="79">
        <f t="shared" si="2"/>
        <v>39037917.107650854</v>
      </c>
      <c r="BV69" s="82">
        <f>+BU69</f>
        <v>39037917.107650854</v>
      </c>
      <c r="BW69" s="38"/>
    </row>
    <row r="70" spans="1:76">
      <c r="A70">
        <v>55</v>
      </c>
      <c r="C70" s="37" t="str">
        <f t="shared" si="0"/>
        <v>Base FCR</v>
      </c>
      <c r="D70" s="77">
        <f t="shared" si="1"/>
        <v>2025</v>
      </c>
      <c r="E70" s="78">
        <f>+G69</f>
        <v>18736762.166666649</v>
      </c>
      <c r="F70" s="78">
        <f>+E$32</f>
        <v>958810.85714285716</v>
      </c>
      <c r="G70" s="78">
        <f t="shared" si="5"/>
        <v>17777951.309523791</v>
      </c>
      <c r="H70" s="42">
        <f>+E$29*G70+F70</f>
        <v>3206473.6091111945</v>
      </c>
      <c r="I70" s="85">
        <f>+K69</f>
        <v>22719047.619047623</v>
      </c>
      <c r="J70" s="78">
        <f>+I$32</f>
        <v>1048571.4285714285</v>
      </c>
      <c r="K70" s="78">
        <f t="shared" si="6"/>
        <v>21670476.190476194</v>
      </c>
      <c r="L70" s="51">
        <f>+I$29*K70+J70</f>
        <v>3788365.3059827606</v>
      </c>
      <c r="M70" s="85">
        <f>+O69</f>
        <v>12380952.380952388</v>
      </c>
      <c r="N70" s="78">
        <f>+M$32</f>
        <v>571428.57142857148</v>
      </c>
      <c r="O70" s="78">
        <f t="shared" si="7"/>
        <v>11809523.809523817</v>
      </c>
      <c r="P70" s="51">
        <f>+M$29*O70+N70</f>
        <v>2064504.2539415597</v>
      </c>
      <c r="Q70" s="85">
        <f>+S69</f>
        <v>1238095.2380952395</v>
      </c>
      <c r="R70" s="78">
        <f>+Q$32</f>
        <v>57142.857142857145</v>
      </c>
      <c r="S70" s="78">
        <f t="shared" si="8"/>
        <v>1180952.3809523825</v>
      </c>
      <c r="T70" s="51">
        <f>+Q$29*S70+R70</f>
        <v>206450.42539415607</v>
      </c>
      <c r="U70" s="85">
        <f>+W69</f>
        <v>1238095.2380952395</v>
      </c>
      <c r="V70" s="78">
        <f>+U$32</f>
        <v>57142.857142857145</v>
      </c>
      <c r="W70" s="78">
        <f t="shared" si="9"/>
        <v>1180952.3809523825</v>
      </c>
      <c r="X70" s="51">
        <f>+U$29*W70+V70</f>
        <v>206450.42539415607</v>
      </c>
      <c r="Y70" s="85">
        <f>+AA69</f>
        <v>1238095.2380952395</v>
      </c>
      <c r="Z70" s="78">
        <f>+Y$32</f>
        <v>57142.857142857145</v>
      </c>
      <c r="AA70" s="78">
        <f t="shared" si="10"/>
        <v>1180952.3809523825</v>
      </c>
      <c r="AB70" s="51">
        <f>+Y$29*AA70+Z70</f>
        <v>206450.42539415607</v>
      </c>
      <c r="AC70" s="85">
        <f>+AE69</f>
        <v>1257142.8571428584</v>
      </c>
      <c r="AD70" s="78">
        <f>+AC$32</f>
        <v>57142.857142857145</v>
      </c>
      <c r="AE70" s="78">
        <f t="shared" si="11"/>
        <v>1200000.0000000014</v>
      </c>
      <c r="AF70" s="51">
        <f>+AC$29*AE70+AD70</f>
        <v>208858.6119788544</v>
      </c>
      <c r="AG70" s="85">
        <f t="shared" si="12"/>
        <v>10205602.714285715</v>
      </c>
      <c r="AH70" s="78">
        <f>+AG$32</f>
        <v>453582.34285714285</v>
      </c>
      <c r="AI70" s="78">
        <f t="shared" si="13"/>
        <v>9752020.3714285716</v>
      </c>
      <c r="AJ70" s="51">
        <f>+AG$29*AI70+AH70</f>
        <v>1686528.2860465648</v>
      </c>
      <c r="AK70" s="85">
        <f t="shared" si="14"/>
        <v>18992800.928571418</v>
      </c>
      <c r="AL70" s="78">
        <f>+AK$32</f>
        <v>844124.48571428575</v>
      </c>
      <c r="AM70" s="78">
        <f t="shared" si="15"/>
        <v>18148676.442857131</v>
      </c>
      <c r="AN70" s="51">
        <f>+AK$29*AM70+AL70</f>
        <v>3138657.9405495757</v>
      </c>
      <c r="AO70" s="85">
        <f t="shared" si="16"/>
        <v>37659323.571428545</v>
      </c>
      <c r="AP70" s="78">
        <f>+AO$32</f>
        <v>1673747.7142857143</v>
      </c>
      <c r="AQ70" s="78">
        <f t="shared" si="17"/>
        <v>35985575.857142828</v>
      </c>
      <c r="AR70" s="51">
        <f>+AO$29*AQ70+AP70</f>
        <v>6223396.7179310955</v>
      </c>
      <c r="AS70" s="85">
        <f t="shared" si="18"/>
        <v>3360184.7142857118</v>
      </c>
      <c r="AT70" s="78">
        <f>+AS$32</f>
        <v>149341.54285714286</v>
      </c>
      <c r="AU70" s="78">
        <f t="shared" si="19"/>
        <v>3210843.1714285687</v>
      </c>
      <c r="AV70" s="51">
        <f>+AS$29*AU70+AT70</f>
        <v>555287.78903488629</v>
      </c>
      <c r="AW70" s="85">
        <f t="shared" ref="AW70" si="58">+AY69</f>
        <v>12775923.399999995</v>
      </c>
      <c r="AX70" s="78">
        <f>+AW$32</f>
        <v>543480.11428571434</v>
      </c>
      <c r="AY70" s="78">
        <f t="shared" si="21"/>
        <v>12232443.28571428</v>
      </c>
      <c r="AZ70" s="51">
        <f>+AW$29*AY70+AX70</f>
        <v>2090025.4197696028</v>
      </c>
      <c r="BA70" s="85">
        <f t="shared" ref="BA70" si="59">+BC69</f>
        <v>36756196.08809521</v>
      </c>
      <c r="BB70" s="78">
        <f>+BA$32</f>
        <v>1481495.7768571428</v>
      </c>
      <c r="BC70" s="78">
        <f t="shared" si="23"/>
        <v>35274700.311238065</v>
      </c>
      <c r="BD70" s="51">
        <f>+BA$29*BC70+BB70</f>
        <v>5941268.9304680303</v>
      </c>
      <c r="BE70" s="85">
        <f t="shared" ref="BE70" si="60">+BG69</f>
        <v>6211443.52190476</v>
      </c>
      <c r="BF70" s="78">
        <f>+BE$32</f>
        <v>246385.85714285713</v>
      </c>
      <c r="BG70" s="78">
        <f t="shared" si="25"/>
        <v>5965057.6647619028</v>
      </c>
      <c r="BH70" s="51">
        <f>+BE$29*BG70+BF70</f>
        <v>1000546.8790175256</v>
      </c>
      <c r="BI70" s="85">
        <f t="shared" si="26"/>
        <v>5528571.4285714272</v>
      </c>
      <c r="BJ70" s="78">
        <f>+BI$32</f>
        <v>257142.85714285713</v>
      </c>
      <c r="BK70" s="78">
        <f t="shared" si="48"/>
        <v>5271428.57142857</v>
      </c>
      <c r="BL70" s="51">
        <f>+BI$29*BK70+BJ70</f>
        <v>923608.49445812986</v>
      </c>
      <c r="BM70" s="85">
        <f t="shared" ref="BM70" si="61">+BO69</f>
        <v>27300000</v>
      </c>
      <c r="BN70" s="78">
        <f t="shared" ref="BN70:BN75" si="62">+BM$32</f>
        <v>1114285.7142857143</v>
      </c>
      <c r="BO70" s="78">
        <f t="shared" ref="BO70:BO75" si="63">+BM70-BN70</f>
        <v>26185714.285714287</v>
      </c>
      <c r="BP70" s="51">
        <f t="shared" ref="BP70:BP75" si="64">+BM$29*BO70+BN70</f>
        <v>4424940.221599794</v>
      </c>
      <c r="BQ70" s="85">
        <f t="shared" ref="BQ70" si="65">+BS69</f>
        <v>6702857.1428571427</v>
      </c>
      <c r="BR70" s="78">
        <f t="shared" ref="BR70:BR75" si="66">+BQ$32</f>
        <v>262857.14285714284</v>
      </c>
      <c r="BS70" s="78">
        <f t="shared" ref="BS70:BS75" si="67">+BQ70-BR70</f>
        <v>6440000</v>
      </c>
      <c r="BT70" s="51">
        <f t="shared" ref="BT70:BT75" si="68">+BQ$29*BS70+BR70</f>
        <v>1077065.0271436605</v>
      </c>
      <c r="BU70" s="79">
        <f t="shared" si="2"/>
        <v>36948878.763215698</v>
      </c>
      <c r="BV70" s="36"/>
      <c r="BW70" s="80">
        <f>+BU70</f>
        <v>36948878.763215698</v>
      </c>
    </row>
    <row r="71" spans="1:76">
      <c r="A71">
        <v>56</v>
      </c>
      <c r="C71" s="37" t="str">
        <f t="shared" si="0"/>
        <v>W Increased ROE</v>
      </c>
      <c r="D71" s="77">
        <f t="shared" si="1"/>
        <v>2025</v>
      </c>
      <c r="E71" s="78">
        <f>+E70</f>
        <v>18736762.166666649</v>
      </c>
      <c r="F71" s="78">
        <f>+F70</f>
        <v>958810.85714285716</v>
      </c>
      <c r="G71" s="78">
        <f t="shared" si="5"/>
        <v>17777951.309523791</v>
      </c>
      <c r="H71" s="42">
        <f>+E$30*G71+F71</f>
        <v>3363404.2740135612</v>
      </c>
      <c r="I71" s="85">
        <f>+I70</f>
        <v>22719047.619047623</v>
      </c>
      <c r="J71" s="78">
        <f>+J70</f>
        <v>1048571.4285714285</v>
      </c>
      <c r="K71" s="78">
        <f t="shared" si="6"/>
        <v>21670476.190476194</v>
      </c>
      <c r="L71" s="51">
        <f>+I$30*K71+J71</f>
        <v>3979656.3146098633</v>
      </c>
      <c r="M71" s="85">
        <f>+M70</f>
        <v>12380952.380952388</v>
      </c>
      <c r="N71" s="78">
        <f>+N70</f>
        <v>571428.57142857148</v>
      </c>
      <c r="O71" s="78">
        <f t="shared" si="7"/>
        <v>11809523.809523817</v>
      </c>
      <c r="P71" s="51">
        <f>+M$30*O71+N71</f>
        <v>2168750.0352097359</v>
      </c>
      <c r="Q71" s="85">
        <f>+Q70</f>
        <v>1238095.2380952395</v>
      </c>
      <c r="R71" s="78">
        <f>+R70</f>
        <v>57142.857142857145</v>
      </c>
      <c r="S71" s="78">
        <f t="shared" si="8"/>
        <v>1180952.3809523825</v>
      </c>
      <c r="T71" s="51">
        <f>+Q$30*S71+R71</f>
        <v>206450.42539415607</v>
      </c>
      <c r="U71" s="85">
        <f>+U70</f>
        <v>1238095.2380952395</v>
      </c>
      <c r="V71" s="78">
        <f>+V70</f>
        <v>57142.857142857145</v>
      </c>
      <c r="W71" s="78">
        <f t="shared" si="9"/>
        <v>1180952.3809523825</v>
      </c>
      <c r="X71" s="51">
        <f>+U$30*W71+V71</f>
        <v>206450.42539415607</v>
      </c>
      <c r="Y71" s="85">
        <f>+Y70</f>
        <v>1238095.2380952395</v>
      </c>
      <c r="Z71" s="78">
        <f>+Z70</f>
        <v>57142.857142857145</v>
      </c>
      <c r="AA71" s="78">
        <f t="shared" si="10"/>
        <v>1180952.3809523825</v>
      </c>
      <c r="AB71" s="51">
        <f>+Y$30*AA71+Z71</f>
        <v>206450.42539415607</v>
      </c>
      <c r="AC71" s="85">
        <f>+AC70</f>
        <v>1257142.8571428584</v>
      </c>
      <c r="AD71" s="78">
        <f>+AD70</f>
        <v>57142.857142857145</v>
      </c>
      <c r="AE71" s="78">
        <f t="shared" si="11"/>
        <v>1200000.0000000014</v>
      </c>
      <c r="AF71" s="51">
        <f>+AC$30*AE71+AD71</f>
        <v>208858.6119788544</v>
      </c>
      <c r="AG71" s="85">
        <f>+AI69</f>
        <v>10205602.714285715</v>
      </c>
      <c r="AH71" s="78">
        <f>+AH70</f>
        <v>453582.34285714285</v>
      </c>
      <c r="AI71" s="78">
        <f t="shared" si="13"/>
        <v>9752020.3714285716</v>
      </c>
      <c r="AJ71" s="51">
        <f>+AG$30*AI71+AH71</f>
        <v>1772611.9418280872</v>
      </c>
      <c r="AK71" s="85">
        <f>+AM69</f>
        <v>18992800.928571418</v>
      </c>
      <c r="AL71" s="78">
        <f>+AL70</f>
        <v>844124.48571428575</v>
      </c>
      <c r="AM71" s="78">
        <f t="shared" si="15"/>
        <v>18148676.442857131</v>
      </c>
      <c r="AN71" s="51">
        <f>+AK$30*AM71+AL71</f>
        <v>3298861.0939775943</v>
      </c>
      <c r="AO71" s="85">
        <f>+AQ69</f>
        <v>37659323.571428545</v>
      </c>
      <c r="AP71" s="78">
        <f>+AP70</f>
        <v>1673747.7142857143</v>
      </c>
      <c r="AQ71" s="78">
        <f t="shared" si="17"/>
        <v>35985575.857142828</v>
      </c>
      <c r="AR71" s="51">
        <f>+AO$30*AQ71+AP71</f>
        <v>6223396.7179310955</v>
      </c>
      <c r="AS71" s="85">
        <f>+AU69</f>
        <v>3360184.7142857118</v>
      </c>
      <c r="AT71" s="78">
        <f>+AT70</f>
        <v>149341.54285714286</v>
      </c>
      <c r="AU71" s="78">
        <f t="shared" si="19"/>
        <v>3210843.1714285687</v>
      </c>
      <c r="AV71" s="51">
        <f>+AS$30*AU71+AT71</f>
        <v>555287.78903488629</v>
      </c>
      <c r="AW71" s="85">
        <f>+AY69</f>
        <v>12775923.399999995</v>
      </c>
      <c r="AX71" s="78">
        <f>+AX70</f>
        <v>543480.11428571434</v>
      </c>
      <c r="AY71" s="78">
        <f t="shared" si="21"/>
        <v>12232443.28571428</v>
      </c>
      <c r="AZ71" s="51">
        <f>+AW$30*AY71+AX71</f>
        <v>2198004.42279338</v>
      </c>
      <c r="BA71" s="85">
        <f>+BC69</f>
        <v>36756196.08809521</v>
      </c>
      <c r="BB71" s="78">
        <f>+BB70</f>
        <v>1481495.7768571428</v>
      </c>
      <c r="BC71" s="78">
        <f t="shared" si="23"/>
        <v>35274700.311238065</v>
      </c>
      <c r="BD71" s="51">
        <f>+BA$30*BC71+BB71</f>
        <v>5941268.9304680303</v>
      </c>
      <c r="BE71" s="85">
        <f>+BG69</f>
        <v>6211443.52190476</v>
      </c>
      <c r="BF71" s="78">
        <f>+BF70</f>
        <v>246385.85714285713</v>
      </c>
      <c r="BG71" s="78">
        <f t="shared" si="25"/>
        <v>5965057.6647619028</v>
      </c>
      <c r="BH71" s="51">
        <f>+BE$30*BG71+BF71</f>
        <v>1000546.8790175256</v>
      </c>
      <c r="BI71" s="85">
        <f>+BI70</f>
        <v>5528571.4285714272</v>
      </c>
      <c r="BJ71" s="78">
        <f>+BJ70</f>
        <v>257142.85714285713</v>
      </c>
      <c r="BK71" s="78">
        <f t="shared" si="48"/>
        <v>5271428.57142857</v>
      </c>
      <c r="BL71" s="51">
        <f>+BI$30*BK71+BJ71</f>
        <v>923608.49445812986</v>
      </c>
      <c r="BM71" s="85">
        <f>+BM70</f>
        <v>27300000</v>
      </c>
      <c r="BN71" s="78">
        <f t="shared" si="62"/>
        <v>1114285.7142857143</v>
      </c>
      <c r="BO71" s="78">
        <f t="shared" si="63"/>
        <v>26185714.285714287</v>
      </c>
      <c r="BP71" s="51">
        <f t="shared" si="64"/>
        <v>4424940.221599794</v>
      </c>
      <c r="BQ71" s="85">
        <f>+BQ70</f>
        <v>6702857.1428571427</v>
      </c>
      <c r="BR71" s="78">
        <f t="shared" si="66"/>
        <v>262857.14285714284</v>
      </c>
      <c r="BS71" s="78">
        <f t="shared" si="67"/>
        <v>6440000</v>
      </c>
      <c r="BT71" s="51">
        <f t="shared" si="68"/>
        <v>1077065.0271436605</v>
      </c>
      <c r="BU71" s="79">
        <f t="shared" si="2"/>
        <v>37755612.030246668</v>
      </c>
      <c r="BV71" s="82">
        <f>+BU71</f>
        <v>37755612.030246668</v>
      </c>
      <c r="BW71" s="38"/>
    </row>
    <row r="72" spans="1:76">
      <c r="A72">
        <v>57</v>
      </c>
      <c r="C72" s="37" t="str">
        <f t="shared" si="0"/>
        <v>Base FCR</v>
      </c>
      <c r="D72" s="77">
        <f t="shared" si="1"/>
        <v>2026</v>
      </c>
      <c r="E72" s="78">
        <f>+G71</f>
        <v>17777951.309523791</v>
      </c>
      <c r="F72" s="78">
        <f>+E$32</f>
        <v>958810.85714285716</v>
      </c>
      <c r="G72" s="78">
        <f t="shared" si="5"/>
        <v>16819140.452380933</v>
      </c>
      <c r="H72" s="42">
        <f>+E$29*G72+F72</f>
        <v>3085251.3483308796</v>
      </c>
      <c r="I72" s="85">
        <f>+K71</f>
        <v>21670476.190476194</v>
      </c>
      <c r="J72" s="78">
        <f>+I$32</f>
        <v>1048571.4285714285</v>
      </c>
      <c r="K72" s="78">
        <f t="shared" si="6"/>
        <v>20621904.761904765</v>
      </c>
      <c r="L72" s="51">
        <f>+I$29*K72+J72</f>
        <v>3655794.6344951154</v>
      </c>
      <c r="M72" s="85">
        <f>+O71</f>
        <v>11809523.809523817</v>
      </c>
      <c r="N72" s="78">
        <f>+M$32</f>
        <v>571428.57142857148</v>
      </c>
      <c r="O72" s="78">
        <f t="shared" si="7"/>
        <v>11238095.238095246</v>
      </c>
      <c r="P72" s="51">
        <f>+M$29*O72+N72</f>
        <v>1992258.6564006088</v>
      </c>
      <c r="Q72" s="85">
        <f>+S71</f>
        <v>1180952.3809523825</v>
      </c>
      <c r="R72" s="78">
        <f>+Q$32</f>
        <v>57142.857142857145</v>
      </c>
      <c r="S72" s="78">
        <f t="shared" si="8"/>
        <v>1123809.5238095254</v>
      </c>
      <c r="T72" s="51">
        <f>+Q$29*S72+R72</f>
        <v>199225.86564006098</v>
      </c>
      <c r="U72" s="85">
        <f>+W71</f>
        <v>1180952.3809523825</v>
      </c>
      <c r="V72" s="78">
        <f>+U$32</f>
        <v>57142.857142857145</v>
      </c>
      <c r="W72" s="78">
        <f t="shared" si="9"/>
        <v>1123809.5238095254</v>
      </c>
      <c r="X72" s="51">
        <f>+U$29*W72+V72</f>
        <v>199225.86564006098</v>
      </c>
      <c r="Y72" s="85">
        <f>+AA71</f>
        <v>1180952.3809523825</v>
      </c>
      <c r="Z72" s="78">
        <f>+Y$32</f>
        <v>57142.857142857145</v>
      </c>
      <c r="AA72" s="78">
        <f t="shared" si="10"/>
        <v>1123809.5238095254</v>
      </c>
      <c r="AB72" s="51">
        <f>+Y$29*AA72+Z72</f>
        <v>199225.86564006098</v>
      </c>
      <c r="AC72" s="85">
        <f>+AE71</f>
        <v>1200000.0000000014</v>
      </c>
      <c r="AD72" s="78">
        <f>+AC$32</f>
        <v>57142.857142857145</v>
      </c>
      <c r="AE72" s="78">
        <f t="shared" si="11"/>
        <v>1142857.1428571444</v>
      </c>
      <c r="AF72" s="51">
        <f>+AC$29*AE72+AD72</f>
        <v>201634.0522247593</v>
      </c>
      <c r="AG72" s="85">
        <f t="shared" si="12"/>
        <v>9752020.3714285716</v>
      </c>
      <c r="AH72" s="78">
        <f>+AG$32</f>
        <v>453582.34285714285</v>
      </c>
      <c r="AI72" s="78">
        <f t="shared" si="13"/>
        <v>9298438.0285714287</v>
      </c>
      <c r="AJ72" s="51">
        <f>+AG$29*AI72+AH72</f>
        <v>1629181.9631075221</v>
      </c>
      <c r="AK72" s="85">
        <f t="shared" si="14"/>
        <v>18148676.442857131</v>
      </c>
      <c r="AL72" s="78">
        <f>+AK$32</f>
        <v>844124.48571428575</v>
      </c>
      <c r="AM72" s="78">
        <f t="shared" si="15"/>
        <v>17304551.957142845</v>
      </c>
      <c r="AN72" s="51">
        <f>+AK$29*AM72+AL72</f>
        <v>3031935.4542781669</v>
      </c>
      <c r="AO72" s="85">
        <f t="shared" si="16"/>
        <v>35985575.857142828</v>
      </c>
      <c r="AP72" s="78">
        <f>+AO$32</f>
        <v>1673747.7142857143</v>
      </c>
      <c r="AQ72" s="78">
        <f t="shared" si="17"/>
        <v>34311828.142857112</v>
      </c>
      <c r="AR72" s="51">
        <f>+AO$29*AQ72+AP72</f>
        <v>6011785.1363661932</v>
      </c>
      <c r="AS72" s="85">
        <f t="shared" si="18"/>
        <v>3210843.1714285687</v>
      </c>
      <c r="AT72" s="78">
        <f>+AS$32</f>
        <v>149341.54285714286</v>
      </c>
      <c r="AU72" s="78">
        <f t="shared" si="19"/>
        <v>3061501.6285714256</v>
      </c>
      <c r="AV72" s="51">
        <f>+AS$29*AU72+AT72</f>
        <v>536406.56828243309</v>
      </c>
      <c r="AW72" s="85">
        <f t="shared" ref="AW72" si="69">+AY71</f>
        <v>12232443.28571428</v>
      </c>
      <c r="AX72" s="78">
        <f>+AW$32</f>
        <v>543480.11428571434</v>
      </c>
      <c r="AY72" s="78">
        <f t="shared" si="21"/>
        <v>11688963.171428565</v>
      </c>
      <c r="AZ72" s="51">
        <f>+AW$29*AY72+AX72</f>
        <v>2021313.3399552605</v>
      </c>
      <c r="BA72" s="85">
        <f t="shared" ref="BA72" si="70">+BC71</f>
        <v>35274700.311238065</v>
      </c>
      <c r="BB72" s="78">
        <f>+BA$32</f>
        <v>1481495.7768571428</v>
      </c>
      <c r="BC72" s="78">
        <f t="shared" si="23"/>
        <v>33793204.53438092</v>
      </c>
      <c r="BD72" s="51">
        <f>+BA$29*BC72+BB72</f>
        <v>5753963.7220745105</v>
      </c>
      <c r="BE72" s="85">
        <f t="shared" ref="BE72" si="71">+BG71</f>
        <v>5965057.6647619028</v>
      </c>
      <c r="BF72" s="78">
        <f>+BE$32</f>
        <v>246385.85714285713</v>
      </c>
      <c r="BG72" s="78">
        <f t="shared" si="25"/>
        <v>5718671.8076190455</v>
      </c>
      <c r="BH72" s="51">
        <f>+BE$29*BG72+BF72</f>
        <v>969396.36543640669</v>
      </c>
      <c r="BI72" s="85">
        <f t="shared" si="26"/>
        <v>5271428.57142857</v>
      </c>
      <c r="BJ72" s="78">
        <f>+BI$32</f>
        <v>257142.85714285713</v>
      </c>
      <c r="BK72" s="78">
        <f t="shared" si="48"/>
        <v>5014285.7142857127</v>
      </c>
      <c r="BL72" s="51">
        <f>+BI$29*BK72+BJ72</f>
        <v>891097.97556470195</v>
      </c>
      <c r="BM72" s="85">
        <f t="shared" ref="BM72" si="72">+BO71</f>
        <v>26185714.285714287</v>
      </c>
      <c r="BN72" s="78">
        <f t="shared" si="62"/>
        <v>1114285.7142857143</v>
      </c>
      <c r="BO72" s="78">
        <f t="shared" si="63"/>
        <v>25071428.571428575</v>
      </c>
      <c r="BP72" s="51">
        <f t="shared" si="64"/>
        <v>4284061.3063949393</v>
      </c>
      <c r="BQ72" s="85">
        <f t="shared" ref="BQ72" si="73">+BS71</f>
        <v>6440000</v>
      </c>
      <c r="BR72" s="78">
        <f t="shared" si="66"/>
        <v>262857.14285714284</v>
      </c>
      <c r="BS72" s="78">
        <f t="shared" si="67"/>
        <v>6177142.8571428573</v>
      </c>
      <c r="BT72" s="51">
        <f t="shared" si="68"/>
        <v>1043832.0522748231</v>
      </c>
      <c r="BU72" s="79">
        <f t="shared" si="2"/>
        <v>35705590.172106504</v>
      </c>
      <c r="BV72" s="36"/>
      <c r="BW72" s="80">
        <f>+BU72</f>
        <v>35705590.172106504</v>
      </c>
    </row>
    <row r="73" spans="1:76">
      <c r="A73">
        <v>58</v>
      </c>
      <c r="C73" s="37" t="str">
        <f t="shared" si="0"/>
        <v>W Increased ROE</v>
      </c>
      <c r="D73" s="77">
        <f t="shared" si="1"/>
        <v>2026</v>
      </c>
      <c r="E73" s="78">
        <f>+E72</f>
        <v>17777951.309523791</v>
      </c>
      <c r="F73" s="78">
        <f>+F72</f>
        <v>958810.85714285716</v>
      </c>
      <c r="G73" s="78">
        <f t="shared" si="5"/>
        <v>16819140.452380933</v>
      </c>
      <c r="H73" s="42">
        <f>+E$30*G73+F73</f>
        <v>3233718.3369239047</v>
      </c>
      <c r="I73" s="85">
        <f>+I72</f>
        <v>21670476.190476194</v>
      </c>
      <c r="J73" s="78">
        <f>+J72</f>
        <v>1048571.4285714285</v>
      </c>
      <c r="K73" s="78">
        <f t="shared" si="6"/>
        <v>20621904.761904765</v>
      </c>
      <c r="L73" s="51">
        <f>+I$30*K73+J73</f>
        <v>3837829.6265757456</v>
      </c>
      <c r="M73" s="85">
        <f>+M72</f>
        <v>11809523.809523817</v>
      </c>
      <c r="N73" s="78">
        <f>+N72</f>
        <v>571428.57142857148</v>
      </c>
      <c r="O73" s="78">
        <f t="shared" si="7"/>
        <v>11238095.238095246</v>
      </c>
      <c r="P73" s="51">
        <f>+M$30*O73+N73</f>
        <v>2091460.28696226</v>
      </c>
      <c r="Q73" s="85">
        <f>+Q72</f>
        <v>1180952.3809523825</v>
      </c>
      <c r="R73" s="78">
        <f>+R72</f>
        <v>57142.857142857145</v>
      </c>
      <c r="S73" s="78">
        <f t="shared" si="8"/>
        <v>1123809.5238095254</v>
      </c>
      <c r="T73" s="51">
        <f>+Q$30*S73+R73</f>
        <v>199225.86564006098</v>
      </c>
      <c r="U73" s="85">
        <f>+U72</f>
        <v>1180952.3809523825</v>
      </c>
      <c r="V73" s="78">
        <f>+V72</f>
        <v>57142.857142857145</v>
      </c>
      <c r="W73" s="78">
        <f t="shared" si="9"/>
        <v>1123809.5238095254</v>
      </c>
      <c r="X73" s="51">
        <f>+U$30*W73+V73</f>
        <v>199225.86564006098</v>
      </c>
      <c r="Y73" s="85">
        <f>+Y72</f>
        <v>1180952.3809523825</v>
      </c>
      <c r="Z73" s="78">
        <f>+Z72</f>
        <v>57142.857142857145</v>
      </c>
      <c r="AA73" s="78">
        <f t="shared" si="10"/>
        <v>1123809.5238095254</v>
      </c>
      <c r="AB73" s="51">
        <f>+Y$30*AA73+Z73</f>
        <v>199225.86564006098</v>
      </c>
      <c r="AC73" s="85">
        <f>+AC72</f>
        <v>1200000.0000000014</v>
      </c>
      <c r="AD73" s="78">
        <f>+AD72</f>
        <v>57142.857142857145</v>
      </c>
      <c r="AE73" s="78">
        <f t="shared" si="11"/>
        <v>1142857.1428571444</v>
      </c>
      <c r="AF73" s="51">
        <f>+AC$30*AE73+AD73</f>
        <v>201634.0522247593</v>
      </c>
      <c r="AG73" s="85">
        <f>+AI71</f>
        <v>9752020.3714285716</v>
      </c>
      <c r="AH73" s="78">
        <f>+AH72</f>
        <v>453582.34285714285</v>
      </c>
      <c r="AI73" s="78">
        <f t="shared" si="13"/>
        <v>9298438.0285714287</v>
      </c>
      <c r="AJ73" s="51">
        <f>+AG$30*AI73+AH73</f>
        <v>1711261.7279224619</v>
      </c>
      <c r="AK73" s="85">
        <f>+AM71</f>
        <v>18148676.442857131</v>
      </c>
      <c r="AL73" s="78">
        <f>+AL72</f>
        <v>844124.48571428575</v>
      </c>
      <c r="AM73" s="78">
        <f t="shared" si="15"/>
        <v>17304551.957142845</v>
      </c>
      <c r="AN73" s="51">
        <f>+AK$30*AM73+AL73</f>
        <v>3184687.2982444172</v>
      </c>
      <c r="AO73" s="85">
        <f>+AQ71</f>
        <v>35985575.857142828</v>
      </c>
      <c r="AP73" s="78">
        <f>+AP72</f>
        <v>1673747.7142857143</v>
      </c>
      <c r="AQ73" s="78">
        <f t="shared" si="17"/>
        <v>34311828.142857112</v>
      </c>
      <c r="AR73" s="51">
        <f>+AO$30*AQ73+AP73</f>
        <v>6011785.1363661932</v>
      </c>
      <c r="AS73" s="85">
        <f>+AU71</f>
        <v>3210843.1714285687</v>
      </c>
      <c r="AT73" s="78">
        <f>+AT72</f>
        <v>149341.54285714286</v>
      </c>
      <c r="AU73" s="78">
        <f t="shared" si="19"/>
        <v>3061501.6285714256</v>
      </c>
      <c r="AV73" s="51">
        <f>+AS$30*AU73+AT73</f>
        <v>536406.56828243309</v>
      </c>
      <c r="AW73" s="85">
        <f>+AY71</f>
        <v>12232443.28571428</v>
      </c>
      <c r="AX73" s="78">
        <f>+AX72</f>
        <v>543480.11428571434</v>
      </c>
      <c r="AY73" s="78">
        <f t="shared" si="21"/>
        <v>11688963.171428565</v>
      </c>
      <c r="AZ73" s="51">
        <f>+AW$30*AY73+AX73</f>
        <v>2124494.9006747385</v>
      </c>
      <c r="BA73" s="85">
        <f>+BC71</f>
        <v>35274700.311238065</v>
      </c>
      <c r="BB73" s="78">
        <f>+BB72</f>
        <v>1481495.7768571428</v>
      </c>
      <c r="BC73" s="78">
        <f t="shared" si="23"/>
        <v>33793204.53438092</v>
      </c>
      <c r="BD73" s="51">
        <f>+BA$30*BC73+BB73</f>
        <v>5753963.7220745105</v>
      </c>
      <c r="BE73" s="85">
        <f>+BG71</f>
        <v>5965057.6647619028</v>
      </c>
      <c r="BF73" s="78">
        <f>+BF72</f>
        <v>246385.85714285713</v>
      </c>
      <c r="BG73" s="78">
        <f t="shared" si="25"/>
        <v>5718671.8076190455</v>
      </c>
      <c r="BH73" s="51">
        <f>+BE$30*BG73+BF73</f>
        <v>969396.36543640669</v>
      </c>
      <c r="BI73" s="85">
        <f>+BI72</f>
        <v>5271428.57142857</v>
      </c>
      <c r="BJ73" s="78">
        <f>+BJ72</f>
        <v>257142.85714285713</v>
      </c>
      <c r="BK73" s="78">
        <f t="shared" si="48"/>
        <v>5014285.7142857127</v>
      </c>
      <c r="BL73" s="51">
        <f>+BI$30*BK73+BJ73</f>
        <v>891097.97556470195</v>
      </c>
      <c r="BM73" s="85">
        <f>+BM72</f>
        <v>26185714.285714287</v>
      </c>
      <c r="BN73" s="78">
        <f t="shared" si="62"/>
        <v>1114285.7142857143</v>
      </c>
      <c r="BO73" s="78">
        <f t="shared" si="63"/>
        <v>25071428.571428575</v>
      </c>
      <c r="BP73" s="51">
        <f t="shared" si="64"/>
        <v>4284061.3063949393</v>
      </c>
      <c r="BQ73" s="85">
        <f>+BQ72</f>
        <v>6440000</v>
      </c>
      <c r="BR73" s="78">
        <f t="shared" si="66"/>
        <v>262857.14285714284</v>
      </c>
      <c r="BS73" s="78">
        <f t="shared" si="67"/>
        <v>6177142.8571428573</v>
      </c>
      <c r="BT73" s="51">
        <f t="shared" si="68"/>
        <v>1043832.0522748231</v>
      </c>
      <c r="BU73" s="79">
        <f t="shared" si="2"/>
        <v>36473306.952842481</v>
      </c>
      <c r="BV73" s="82">
        <f>+BU73</f>
        <v>36473306.952842481</v>
      </c>
      <c r="BW73" s="38"/>
    </row>
    <row r="74" spans="1:76">
      <c r="A74">
        <v>59</v>
      </c>
      <c r="C74" s="37" t="str">
        <f t="shared" si="0"/>
        <v>Base FCR</v>
      </c>
      <c r="D74" s="77">
        <f t="shared" si="1"/>
        <v>2027</v>
      </c>
      <c r="E74" s="78">
        <f>+G73</f>
        <v>16819140.452380933</v>
      </c>
      <c r="F74" s="78">
        <f>+E$32</f>
        <v>958810.85714285716</v>
      </c>
      <c r="G74" s="78">
        <f t="shared" si="5"/>
        <v>15860329.595238077</v>
      </c>
      <c r="H74" s="42">
        <f>+E$29*G74+F74</f>
        <v>2964029.0875505647</v>
      </c>
      <c r="I74" s="85">
        <f>+K73</f>
        <v>20621904.761904765</v>
      </c>
      <c r="J74" s="78">
        <f>+I$32</f>
        <v>1048571.4285714285</v>
      </c>
      <c r="K74" s="78">
        <f t="shared" si="6"/>
        <v>19573333.333333336</v>
      </c>
      <c r="L74" s="51">
        <f>+I$29*K74+J74</f>
        <v>3523223.9630074701</v>
      </c>
      <c r="M74" s="85">
        <f>+O73</f>
        <v>11238095.238095246</v>
      </c>
      <c r="N74" s="78">
        <f>+M$32</f>
        <v>571428.57142857148</v>
      </c>
      <c r="O74" s="78">
        <f t="shared" si="7"/>
        <v>10666666.666666675</v>
      </c>
      <c r="P74" s="51">
        <f>+M$29*O74+N74</f>
        <v>1920013.058859658</v>
      </c>
      <c r="Q74" s="85">
        <f>+S73</f>
        <v>1123809.5238095254</v>
      </c>
      <c r="R74" s="78">
        <f>+Q$32</f>
        <v>57142.857142857145</v>
      </c>
      <c r="S74" s="78">
        <f t="shared" si="8"/>
        <v>1066666.6666666684</v>
      </c>
      <c r="T74" s="51">
        <f>+Q$29*S74+R74</f>
        <v>192001.30588596588</v>
      </c>
      <c r="U74" s="85">
        <f>+W73</f>
        <v>1123809.5238095254</v>
      </c>
      <c r="V74" s="78">
        <f>+U$32</f>
        <v>57142.857142857145</v>
      </c>
      <c r="W74" s="78">
        <f t="shared" si="9"/>
        <v>1066666.6666666684</v>
      </c>
      <c r="X74" s="51">
        <f>+U$29*W74+V74</f>
        <v>192001.30588596588</v>
      </c>
      <c r="Y74" s="85">
        <f>+AA73</f>
        <v>1123809.5238095254</v>
      </c>
      <c r="Z74" s="78">
        <f>+Y$32</f>
        <v>57142.857142857145</v>
      </c>
      <c r="AA74" s="78">
        <f t="shared" si="10"/>
        <v>1066666.6666666684</v>
      </c>
      <c r="AB74" s="51">
        <f>+Y$29*AA74+Z74</f>
        <v>192001.30588596588</v>
      </c>
      <c r="AC74" s="85">
        <f>+AE73</f>
        <v>1142857.1428571444</v>
      </c>
      <c r="AD74" s="78">
        <f>+AC$32</f>
        <v>57142.857142857145</v>
      </c>
      <c r="AE74" s="78">
        <f t="shared" si="11"/>
        <v>1085714.2857142873</v>
      </c>
      <c r="AF74" s="51">
        <f>+AC$29*AE74+AD74</f>
        <v>194409.49247066421</v>
      </c>
      <c r="AG74" s="85">
        <f t="shared" si="12"/>
        <v>9298438.0285714287</v>
      </c>
      <c r="AH74" s="78">
        <f>+AG$32</f>
        <v>453582.34285714285</v>
      </c>
      <c r="AI74" s="78">
        <f t="shared" si="13"/>
        <v>8844855.6857142858</v>
      </c>
      <c r="AJ74" s="51">
        <f>+AG$29*AI74+AH74</f>
        <v>1571835.6401684792</v>
      </c>
      <c r="AK74" s="85">
        <f t="shared" si="14"/>
        <v>17304551.957142845</v>
      </c>
      <c r="AL74" s="78">
        <f>+AK$32</f>
        <v>844124.48571428575</v>
      </c>
      <c r="AM74" s="78">
        <f t="shared" si="15"/>
        <v>16460427.471428558</v>
      </c>
      <c r="AN74" s="51">
        <f>+AK$29*AM74+AL74</f>
        <v>2925212.968006758</v>
      </c>
      <c r="AO74" s="85">
        <f t="shared" si="16"/>
        <v>34311828.142857112</v>
      </c>
      <c r="AP74" s="78">
        <f>+AO$32</f>
        <v>1673747.7142857143</v>
      </c>
      <c r="AQ74" s="78">
        <f t="shared" si="17"/>
        <v>32638080.428571399</v>
      </c>
      <c r="AR74" s="51">
        <f>+AO$29*AQ74+AP74</f>
        <v>5800173.5548012918</v>
      </c>
      <c r="AS74" s="85">
        <f t="shared" si="18"/>
        <v>3061501.6285714256</v>
      </c>
      <c r="AT74" s="78">
        <f>+AS$32</f>
        <v>149341.54285714286</v>
      </c>
      <c r="AU74" s="78">
        <f t="shared" si="19"/>
        <v>2912160.0857142825</v>
      </c>
      <c r="AV74" s="51">
        <f>+AS$29*AU74+AT74</f>
        <v>517525.34752997983</v>
      </c>
      <c r="AW74" s="85">
        <f t="shared" ref="AW74" si="74">+AY73</f>
        <v>11688963.171428565</v>
      </c>
      <c r="AX74" s="78">
        <f>+AW$32</f>
        <v>543480.11428571434</v>
      </c>
      <c r="AY74" s="78">
        <f t="shared" si="21"/>
        <v>11145483.05714285</v>
      </c>
      <c r="AZ74" s="51">
        <f>+AW$29*AY74+AX74</f>
        <v>1952601.2601409177</v>
      </c>
      <c r="BA74" s="85">
        <f t="shared" ref="BA74" si="75">+BC73</f>
        <v>33793204.53438092</v>
      </c>
      <c r="BB74" s="78">
        <f>+BA$32</f>
        <v>1481495.7768571428</v>
      </c>
      <c r="BC74" s="78">
        <f t="shared" si="23"/>
        <v>32311708.757523779</v>
      </c>
      <c r="BD74" s="51">
        <f>+BA$29*BC74+BB74</f>
        <v>5566658.5136809908</v>
      </c>
      <c r="BE74" s="85">
        <f t="shared" ref="BE74" si="76">+BG73</f>
        <v>5718671.8076190455</v>
      </c>
      <c r="BF74" s="78">
        <f>+BE$32</f>
        <v>246385.85714285713</v>
      </c>
      <c r="BG74" s="78">
        <f t="shared" si="25"/>
        <v>5472285.9504761882</v>
      </c>
      <c r="BH74" s="51">
        <f>+BE$29*BG74+BF74</f>
        <v>938245.85185528768</v>
      </c>
      <c r="BI74" s="85">
        <f t="shared" si="26"/>
        <v>5014285.7142857127</v>
      </c>
      <c r="BJ74" s="78">
        <f>+BI$32</f>
        <v>257142.85714285713</v>
      </c>
      <c r="BK74" s="78">
        <f t="shared" si="48"/>
        <v>4757142.8571428554</v>
      </c>
      <c r="BL74" s="51">
        <f>+BI$29*BK74+BJ74</f>
        <v>858587.45667127392</v>
      </c>
      <c r="BM74" s="85">
        <f t="shared" ref="BM74" si="77">+BO73</f>
        <v>25071428.571428575</v>
      </c>
      <c r="BN74" s="78">
        <f t="shared" si="62"/>
        <v>1114285.7142857143</v>
      </c>
      <c r="BO74" s="78">
        <f t="shared" si="63"/>
        <v>23957142.857142862</v>
      </c>
      <c r="BP74" s="51">
        <f t="shared" si="64"/>
        <v>4143182.3911900856</v>
      </c>
      <c r="BQ74" s="85">
        <f t="shared" ref="BQ74" si="78">+BS73</f>
        <v>6177142.8571428573</v>
      </c>
      <c r="BR74" s="78">
        <f t="shared" si="66"/>
        <v>262857.14285714284</v>
      </c>
      <c r="BS74" s="78">
        <f t="shared" si="67"/>
        <v>5914285.7142857146</v>
      </c>
      <c r="BT74" s="51">
        <f t="shared" si="68"/>
        <v>1010599.0774059857</v>
      </c>
      <c r="BU74" s="79">
        <f t="shared" si="2"/>
        <v>34462301.580997311</v>
      </c>
      <c r="BV74" s="36"/>
      <c r="BW74" s="80">
        <f>+BU74</f>
        <v>34462301.580997311</v>
      </c>
    </row>
    <row r="75" spans="1:76">
      <c r="A75">
        <v>60</v>
      </c>
      <c r="C75" s="37" t="str">
        <f t="shared" si="0"/>
        <v>W Increased ROE</v>
      </c>
      <c r="D75" s="77">
        <f t="shared" si="1"/>
        <v>2027</v>
      </c>
      <c r="E75" s="78">
        <f>+E74</f>
        <v>16819140.452380933</v>
      </c>
      <c r="F75" s="78">
        <f>+F74</f>
        <v>958810.85714285716</v>
      </c>
      <c r="G75" s="78">
        <f t="shared" si="5"/>
        <v>15860329.595238077</v>
      </c>
      <c r="H75" s="42">
        <f>+E$30*G75+F75</f>
        <v>3104032.3998342487</v>
      </c>
      <c r="I75" s="85">
        <f>+I74</f>
        <v>20621904.761904765</v>
      </c>
      <c r="J75" s="78">
        <f>+J74</f>
        <v>1048571.4285714285</v>
      </c>
      <c r="K75" s="78">
        <f t="shared" si="6"/>
        <v>19573333.333333336</v>
      </c>
      <c r="L75" s="51">
        <f>+I$30*K75+J75</f>
        <v>3696002.9385416275</v>
      </c>
      <c r="M75" s="85">
        <f>+M74</f>
        <v>11238095.238095246</v>
      </c>
      <c r="N75" s="78">
        <f>+N74</f>
        <v>571428.57142857148</v>
      </c>
      <c r="O75" s="78">
        <f t="shared" si="7"/>
        <v>10666666.666666675</v>
      </c>
      <c r="P75" s="51">
        <f>+M$30*O75+N75</f>
        <v>2014170.5387147847</v>
      </c>
      <c r="Q75" s="85">
        <f>+Q74</f>
        <v>1123809.5238095254</v>
      </c>
      <c r="R75" s="78">
        <f>+R74</f>
        <v>57142.857142857145</v>
      </c>
      <c r="S75" s="78">
        <f t="shared" si="8"/>
        <v>1066666.6666666684</v>
      </c>
      <c r="T75" s="51">
        <f>+Q$30*S75+R75</f>
        <v>192001.30588596588</v>
      </c>
      <c r="U75" s="85">
        <f>+U74</f>
        <v>1123809.5238095254</v>
      </c>
      <c r="V75" s="78">
        <f>+V74</f>
        <v>57142.857142857145</v>
      </c>
      <c r="W75" s="78">
        <f t="shared" si="9"/>
        <v>1066666.6666666684</v>
      </c>
      <c r="X75" s="51">
        <f>+U$30*W75+V75</f>
        <v>192001.30588596588</v>
      </c>
      <c r="Y75" s="85">
        <f>+Y74</f>
        <v>1123809.5238095254</v>
      </c>
      <c r="Z75" s="78">
        <f>+Z74</f>
        <v>57142.857142857145</v>
      </c>
      <c r="AA75" s="78">
        <f t="shared" si="10"/>
        <v>1066666.6666666684</v>
      </c>
      <c r="AB75" s="51">
        <f>+Y$30*AA75+Z75</f>
        <v>192001.30588596588</v>
      </c>
      <c r="AC75" s="85">
        <f>+AC74</f>
        <v>1142857.1428571444</v>
      </c>
      <c r="AD75" s="78">
        <f>+AD74</f>
        <v>57142.857142857145</v>
      </c>
      <c r="AE75" s="78">
        <f t="shared" si="11"/>
        <v>1085714.2857142873</v>
      </c>
      <c r="AF75" s="51">
        <f>+AC$30*AE75+AD75</f>
        <v>194409.49247066421</v>
      </c>
      <c r="AG75" s="85">
        <f>+AI73</f>
        <v>9298438.0285714287</v>
      </c>
      <c r="AH75" s="78">
        <f>+AH74</f>
        <v>453582.34285714285</v>
      </c>
      <c r="AI75" s="78">
        <f t="shared" si="13"/>
        <v>8844855.6857142858</v>
      </c>
      <c r="AJ75" s="51">
        <f>+AG$30*AI75+AH75</f>
        <v>1649911.5140168364</v>
      </c>
      <c r="AK75" s="85">
        <f>+AM73</f>
        <v>17304551.957142845</v>
      </c>
      <c r="AL75" s="78">
        <f>+AL74</f>
        <v>844124.48571428575</v>
      </c>
      <c r="AM75" s="78">
        <f t="shared" si="15"/>
        <v>16460427.471428558</v>
      </c>
      <c r="AN75" s="51">
        <f>+AK$30*AM75+AL75</f>
        <v>3070513.5025112396</v>
      </c>
      <c r="AO75" s="85">
        <f>+AQ73</f>
        <v>34311828.142857112</v>
      </c>
      <c r="AP75" s="78">
        <f>+AP74</f>
        <v>1673747.7142857143</v>
      </c>
      <c r="AQ75" s="78">
        <f t="shared" si="17"/>
        <v>32638080.428571399</v>
      </c>
      <c r="AR75" s="51">
        <f>+AO$30*AQ75+AP75</f>
        <v>5800173.5548012918</v>
      </c>
      <c r="AS75" s="85">
        <f>+AU73</f>
        <v>3061501.6285714256</v>
      </c>
      <c r="AT75" s="78">
        <f>+AT74</f>
        <v>149341.54285714286</v>
      </c>
      <c r="AU75" s="78">
        <f t="shared" si="19"/>
        <v>2912160.0857142825</v>
      </c>
      <c r="AV75" s="51">
        <f>+AS$30*AU75+AT75</f>
        <v>517525.34752997983</v>
      </c>
      <c r="AW75" s="85">
        <f>+AY73</f>
        <v>11688963.171428565</v>
      </c>
      <c r="AX75" s="78">
        <f>+AX74</f>
        <v>543480.11428571434</v>
      </c>
      <c r="AY75" s="78">
        <f t="shared" si="21"/>
        <v>11145483.05714285</v>
      </c>
      <c r="AZ75" s="51">
        <f>+AW$30*AY75+AX75</f>
        <v>2050985.3785560974</v>
      </c>
      <c r="BA75" s="85">
        <f>+BC73</f>
        <v>33793204.53438092</v>
      </c>
      <c r="BB75" s="78">
        <f>+BB74</f>
        <v>1481495.7768571428</v>
      </c>
      <c r="BC75" s="78">
        <f t="shared" si="23"/>
        <v>32311708.757523779</v>
      </c>
      <c r="BD75" s="51">
        <f>+BA$30*BC75+BB75</f>
        <v>5566658.5136809908</v>
      </c>
      <c r="BE75" s="85">
        <f>+BG73</f>
        <v>5718671.8076190455</v>
      </c>
      <c r="BF75" s="78">
        <f>+BF74</f>
        <v>246385.85714285713</v>
      </c>
      <c r="BG75" s="78">
        <f t="shared" si="25"/>
        <v>5472285.9504761882</v>
      </c>
      <c r="BH75" s="51">
        <f>+BE$30*BG75+BF75</f>
        <v>938245.85185528768</v>
      </c>
      <c r="BI75" s="85">
        <f>+BI74</f>
        <v>5014285.7142857127</v>
      </c>
      <c r="BJ75" s="78">
        <f>+BJ74</f>
        <v>257142.85714285713</v>
      </c>
      <c r="BK75" s="78">
        <f t="shared" si="48"/>
        <v>4757142.8571428554</v>
      </c>
      <c r="BL75" s="51">
        <f>+BI$30*BK75+BJ75</f>
        <v>858587.45667127392</v>
      </c>
      <c r="BM75" s="85">
        <f>+BM74</f>
        <v>25071428.571428575</v>
      </c>
      <c r="BN75" s="78">
        <f t="shared" si="62"/>
        <v>1114285.7142857143</v>
      </c>
      <c r="BO75" s="78">
        <f t="shared" si="63"/>
        <v>23957142.857142862</v>
      </c>
      <c r="BP75" s="51">
        <f t="shared" si="64"/>
        <v>4143182.3911900856</v>
      </c>
      <c r="BQ75" s="85">
        <f>+BQ74</f>
        <v>6177142.8571428573</v>
      </c>
      <c r="BR75" s="78">
        <f t="shared" si="66"/>
        <v>262857.14285714284</v>
      </c>
      <c r="BS75" s="78">
        <f t="shared" si="67"/>
        <v>5914285.7142857146</v>
      </c>
      <c r="BT75" s="51">
        <f t="shared" si="68"/>
        <v>1010599.0774059857</v>
      </c>
      <c r="BU75" s="79">
        <f t="shared" si="2"/>
        <v>35191001.875438303</v>
      </c>
      <c r="BV75" s="82">
        <f>+BU75</f>
        <v>35191001.875438303</v>
      </c>
      <c r="BW75" s="38"/>
    </row>
    <row r="76" spans="1:76">
      <c r="A76">
        <v>61</v>
      </c>
      <c r="C76" s="37"/>
      <c r="D76" s="87"/>
      <c r="E76" s="88"/>
      <c r="F76" s="88"/>
      <c r="G76" s="88"/>
      <c r="H76" s="89"/>
      <c r="I76" s="90"/>
      <c r="J76" s="90"/>
      <c r="K76" s="90"/>
      <c r="L76" s="89"/>
      <c r="M76" s="90"/>
      <c r="N76" s="90"/>
      <c r="O76" s="90"/>
      <c r="P76" s="89"/>
      <c r="Q76" s="90"/>
      <c r="R76" s="90"/>
      <c r="S76" s="90"/>
      <c r="T76" s="89"/>
      <c r="U76" s="90"/>
      <c r="V76" s="90"/>
      <c r="W76" s="90"/>
      <c r="X76" s="89"/>
      <c r="Y76" s="90"/>
      <c r="Z76" s="90"/>
      <c r="AA76" s="90"/>
      <c r="AB76" s="89"/>
      <c r="AC76" s="90"/>
      <c r="AD76" s="90"/>
      <c r="AE76" s="90"/>
      <c r="AF76" s="89"/>
      <c r="AG76" s="90"/>
      <c r="AH76" s="90"/>
      <c r="AI76" s="90"/>
      <c r="AJ76" s="89"/>
      <c r="AK76" s="90"/>
      <c r="AL76" s="90"/>
      <c r="AM76" s="90"/>
      <c r="AN76" s="89"/>
      <c r="AO76" s="90"/>
      <c r="AP76" s="90"/>
      <c r="AQ76" s="90"/>
      <c r="AR76" s="89"/>
      <c r="AS76" s="90"/>
      <c r="AT76" s="90"/>
      <c r="AU76" s="90"/>
      <c r="AV76" s="89"/>
      <c r="AW76" s="90"/>
      <c r="AX76" s="90"/>
      <c r="AY76" s="90"/>
      <c r="AZ76" s="89"/>
      <c r="BA76" s="90"/>
      <c r="BB76" s="90"/>
      <c r="BC76" s="90"/>
      <c r="BD76" s="89"/>
      <c r="BE76" s="90"/>
      <c r="BF76" s="90"/>
      <c r="BG76" s="90"/>
      <c r="BH76" s="89"/>
      <c r="BI76" s="1070"/>
      <c r="BJ76" s="88"/>
      <c r="BK76" s="88"/>
      <c r="BL76" s="89"/>
      <c r="BM76" s="88"/>
      <c r="BN76" s="88"/>
      <c r="BO76" s="88"/>
      <c r="BP76" s="88"/>
      <c r="BQ76" s="90"/>
      <c r="BR76" s="90"/>
      <c r="BS76" s="90"/>
      <c r="BT76" s="89"/>
      <c r="BU76" s="79"/>
      <c r="BV76" s="36"/>
      <c r="BW76" s="80"/>
    </row>
    <row r="77" spans="1:76" ht="15" thickBot="1">
      <c r="A77">
        <v>62</v>
      </c>
      <c r="C77" s="63"/>
      <c r="D77" s="91"/>
      <c r="E77" s="92"/>
      <c r="F77" s="92"/>
      <c r="G77" s="92"/>
      <c r="H77" s="93"/>
      <c r="I77" s="94"/>
      <c r="J77" s="94"/>
      <c r="K77" s="94"/>
      <c r="L77" s="93"/>
      <c r="M77" s="94"/>
      <c r="N77" s="94"/>
      <c r="O77" s="94"/>
      <c r="P77" s="93"/>
      <c r="Q77" s="94"/>
      <c r="R77" s="94"/>
      <c r="S77" s="94"/>
      <c r="T77" s="93"/>
      <c r="U77" s="94"/>
      <c r="V77" s="94"/>
      <c r="W77" s="94"/>
      <c r="X77" s="93"/>
      <c r="Y77" s="94"/>
      <c r="Z77" s="94"/>
      <c r="AA77" s="94"/>
      <c r="AB77" s="93"/>
      <c r="AC77" s="94"/>
      <c r="AD77" s="94"/>
      <c r="AE77" s="94"/>
      <c r="AF77" s="93"/>
      <c r="AG77" s="94"/>
      <c r="AH77" s="94"/>
      <c r="AI77" s="94"/>
      <c r="AJ77" s="93"/>
      <c r="AK77" s="94"/>
      <c r="AL77" s="94"/>
      <c r="AM77" s="94"/>
      <c r="AN77" s="93"/>
      <c r="AO77" s="94"/>
      <c r="AP77" s="94"/>
      <c r="AQ77" s="94"/>
      <c r="AR77" s="93"/>
      <c r="AS77" s="94"/>
      <c r="AT77" s="94"/>
      <c r="AU77" s="94"/>
      <c r="AV77" s="93"/>
      <c r="AW77" s="94"/>
      <c r="AX77" s="94"/>
      <c r="AY77" s="94"/>
      <c r="AZ77" s="93"/>
      <c r="BA77" s="94"/>
      <c r="BB77" s="94"/>
      <c r="BC77" s="94"/>
      <c r="BD77" s="93"/>
      <c r="BE77" s="94"/>
      <c r="BF77" s="94"/>
      <c r="BG77" s="94"/>
      <c r="BH77" s="93"/>
      <c r="BI77" s="1071"/>
      <c r="BJ77" s="92"/>
      <c r="BK77" s="92"/>
      <c r="BL77" s="93"/>
      <c r="BM77" s="92"/>
      <c r="BN77" s="92"/>
      <c r="BO77" s="92"/>
      <c r="BP77" s="92"/>
      <c r="BQ77" s="94"/>
      <c r="BR77" s="94"/>
      <c r="BS77" s="94"/>
      <c r="BT77" s="93"/>
      <c r="BU77" s="95"/>
      <c r="BV77" s="96"/>
      <c r="BW77" s="72"/>
    </row>
    <row r="78" spans="1:76">
      <c r="A78">
        <v>63</v>
      </c>
      <c r="C78" s="97"/>
      <c r="D78" s="98"/>
      <c r="E78" s="97"/>
      <c r="F78" s="97"/>
      <c r="G78" s="97"/>
      <c r="H78" s="99"/>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100">
        <f>SUM(BV36:BV75)</f>
        <v>742169401.45995057</v>
      </c>
      <c r="BW78" s="100">
        <f>SUM(BW36:BW75)</f>
        <v>724109408.90601945</v>
      </c>
    </row>
    <row r="79" spans="1:76">
      <c r="C79" s="101"/>
      <c r="L79"/>
    </row>
    <row r="80" spans="1:76" hidden="1">
      <c r="D80" s="1415">
        <f>SUM(H80:BT80)</f>
        <v>38337869.27311708</v>
      </c>
      <c r="H80" s="1414">
        <f>+H63</f>
        <v>3882148.0223721857</v>
      </c>
      <c r="L80"/>
      <c r="P80" s="1414">
        <f>+P63</f>
        <v>2477909.0281996378</v>
      </c>
      <c r="T80" s="1414">
        <f>+T63</f>
        <v>235348.66441053641</v>
      </c>
      <c r="X80" s="1414">
        <f>+X63</f>
        <v>235348.66441053641</v>
      </c>
      <c r="AB80" s="1414">
        <f>+AB63</f>
        <v>235348.66441053641</v>
      </c>
      <c r="AF80" s="1414">
        <f>+AF63</f>
        <v>237756.85099523474</v>
      </c>
      <c r="AJ80" s="1414">
        <f>+AJ63</f>
        <v>2018012.7974505883</v>
      </c>
      <c r="AN80" s="1414">
        <f>+AN63</f>
        <v>3755556.2769103036</v>
      </c>
      <c r="AR80" s="1414">
        <f>+AR63</f>
        <v>7069843.044190703</v>
      </c>
      <c r="AV80" s="1414">
        <f>+AV63</f>
        <v>630812.6720446992</v>
      </c>
      <c r="AZ80" s="1414">
        <f>+AZ63</f>
        <v>2492042.5112679452</v>
      </c>
      <c r="BD80" s="1414">
        <f>+BD63</f>
        <v>6690489.7640421093</v>
      </c>
      <c r="BH80" s="1414">
        <f>+BH63</f>
        <v>1125148.9333420014</v>
      </c>
      <c r="BL80" s="1414">
        <f>+BL63</f>
        <v>1053650.5700318418</v>
      </c>
      <c r="BP80" s="1414">
        <f>+BP63</f>
        <v>4988455.8824192109</v>
      </c>
      <c r="BT80" s="1414">
        <f>+BT63</f>
        <v>1209996.9266190103</v>
      </c>
      <c r="BV80" s="102"/>
    </row>
    <row r="81" spans="4:72" hidden="1">
      <c r="D81" s="1415">
        <f>SUM(H81:BT81)</f>
        <v>734484.13739792025</v>
      </c>
      <c r="H81" s="1414">
        <f>+H63-H62</f>
        <v>190785.37013973063</v>
      </c>
      <c r="L81"/>
      <c r="P81" s="1414">
        <f>+P63-P62</f>
        <v>124422.3840942746</v>
      </c>
      <c r="T81" s="1414">
        <f>+T63-T62</f>
        <v>0</v>
      </c>
      <c r="X81" s="1414">
        <f>+X63-X62</f>
        <v>0</v>
      </c>
      <c r="AB81" s="1414">
        <f>+AB63-AB62</f>
        <v>0</v>
      </c>
      <c r="AF81" s="1414">
        <f>+AF63-AF62</f>
        <v>0</v>
      </c>
      <c r="AJ81" s="1414">
        <f>+AJ63-AJ62</f>
        <v>102099.21964785177</v>
      </c>
      <c r="AN81" s="1414">
        <f>+AN63-AN62</f>
        <v>190008.39127509156</v>
      </c>
      <c r="AR81" s="1414">
        <f>+AR63-AR62</f>
        <v>0</v>
      </c>
      <c r="AV81" s="1414">
        <f>+AV63-AV62</f>
        <v>0</v>
      </c>
      <c r="AZ81" s="1414">
        <f>+AZ63-AZ62</f>
        <v>127168.77224097168</v>
      </c>
      <c r="BD81" s="1414">
        <f>+BD63-BD62</f>
        <v>0</v>
      </c>
      <c r="BH81" s="1414">
        <f>+BH63-BH62</f>
        <v>0</v>
      </c>
      <c r="BL81" s="1414">
        <f>+BL63-BL62</f>
        <v>0</v>
      </c>
      <c r="BP81" s="1414">
        <f>+BP63-BP62</f>
        <v>0</v>
      </c>
      <c r="BT81" s="1414">
        <f>+BT63-BT62</f>
        <v>0</v>
      </c>
    </row>
    <row r="82" spans="4:72">
      <c r="D82"/>
      <c r="H82"/>
      <c r="L82"/>
    </row>
    <row r="83" spans="4:72">
      <c r="D83"/>
      <c r="H83"/>
      <c r="L83"/>
    </row>
    <row r="84" spans="4:72">
      <c r="D84"/>
      <c r="H84"/>
      <c r="L84"/>
    </row>
    <row r="85" spans="4:72">
      <c r="D85"/>
      <c r="H85"/>
      <c r="L85"/>
    </row>
    <row r="86" spans="4:72">
      <c r="D86"/>
      <c r="H86"/>
      <c r="L86"/>
    </row>
    <row r="87" spans="4:72">
      <c r="D87"/>
      <c r="H87"/>
      <c r="L87"/>
    </row>
    <row r="88" spans="4:72">
      <c r="D88"/>
      <c r="H88"/>
      <c r="L88"/>
    </row>
    <row r="89" spans="4:72">
      <c r="D89"/>
      <c r="H89"/>
      <c r="L89"/>
    </row>
    <row r="90" spans="4:72">
      <c r="D90"/>
      <c r="H90"/>
      <c r="L90"/>
    </row>
    <row r="91" spans="4:72">
      <c r="D91"/>
      <c r="H91"/>
      <c r="L91"/>
    </row>
    <row r="92" spans="4:72">
      <c r="D92"/>
      <c r="H92"/>
      <c r="L92"/>
    </row>
    <row r="93" spans="4:72">
      <c r="D93"/>
      <c r="H93"/>
      <c r="L93"/>
    </row>
    <row r="94" spans="4:72">
      <c r="D94"/>
      <c r="H94"/>
      <c r="L94"/>
    </row>
    <row r="95" spans="4:72">
      <c r="D95"/>
      <c r="H95"/>
      <c r="L95"/>
    </row>
    <row r="96" spans="4:72">
      <c r="D96"/>
      <c r="H96"/>
      <c r="L96"/>
    </row>
    <row r="97" spans="61:72" customFormat="1">
      <c r="BI97" s="1052"/>
      <c r="BJ97" s="1052"/>
      <c r="BK97" s="1052"/>
      <c r="BL97" s="1052"/>
      <c r="BM97" s="1052"/>
      <c r="BN97" s="1052"/>
      <c r="BO97" s="1052"/>
      <c r="BP97" s="1052"/>
      <c r="BQ97" s="1052"/>
      <c r="BR97" s="1052"/>
      <c r="BS97" s="1052"/>
      <c r="BT97" s="1052"/>
    </row>
    <row r="98" spans="61:72" customFormat="1">
      <c r="BI98" s="1052"/>
      <c r="BJ98" s="1052"/>
      <c r="BK98" s="1052"/>
      <c r="BL98" s="1052"/>
      <c r="BM98" s="1052"/>
      <c r="BN98" s="1052"/>
      <c r="BO98" s="1052"/>
      <c r="BP98" s="1052"/>
      <c r="BQ98" s="1052"/>
      <c r="BR98" s="1052"/>
      <c r="BS98" s="1052"/>
      <c r="BT98" s="1052"/>
    </row>
    <row r="99" spans="61:72" customFormat="1">
      <c r="BI99" s="1052"/>
      <c r="BJ99" s="1052"/>
      <c r="BK99" s="1052"/>
      <c r="BL99" s="1052"/>
      <c r="BM99" s="1052"/>
      <c r="BN99" s="1052"/>
      <c r="BO99" s="1052"/>
      <c r="BP99" s="1052"/>
      <c r="BQ99" s="1052"/>
      <c r="BR99" s="1052"/>
      <c r="BS99" s="1052"/>
      <c r="BT99" s="1052"/>
    </row>
    <row r="100" spans="61:72" customFormat="1">
      <c r="BI100" s="1052"/>
      <c r="BJ100" s="1052"/>
      <c r="BK100" s="1052"/>
      <c r="BL100" s="1052"/>
      <c r="BM100" s="1052"/>
      <c r="BN100" s="1052"/>
      <c r="BO100" s="1052"/>
      <c r="BP100" s="1052"/>
      <c r="BQ100" s="1052"/>
      <c r="BR100" s="1052"/>
      <c r="BS100" s="1052"/>
      <c r="BT100" s="1052"/>
    </row>
    <row r="101" spans="61:72" customFormat="1">
      <c r="BI101" s="1052"/>
      <c r="BJ101" s="1052"/>
      <c r="BK101" s="1052"/>
      <c r="BL101" s="1052"/>
      <c r="BM101" s="1052"/>
      <c r="BN101" s="1052"/>
      <c r="BO101" s="1052"/>
      <c r="BP101" s="1052"/>
      <c r="BQ101" s="1052"/>
      <c r="BR101" s="1052"/>
      <c r="BS101" s="1052"/>
      <c r="BT101" s="1052"/>
    </row>
    <row r="102" spans="61:72" customFormat="1">
      <c r="BI102" s="1052"/>
      <c r="BJ102" s="1052"/>
      <c r="BK102" s="1052"/>
      <c r="BL102" s="1052"/>
      <c r="BM102" s="1052"/>
      <c r="BN102" s="1052"/>
      <c r="BO102" s="1052"/>
      <c r="BP102" s="1052"/>
      <c r="BQ102" s="1052"/>
      <c r="BR102" s="1052"/>
      <c r="BS102" s="1052"/>
      <c r="BT102" s="1052"/>
    </row>
    <row r="103" spans="61:72" customFormat="1">
      <c r="BI103" s="1052"/>
      <c r="BJ103" s="1052"/>
      <c r="BK103" s="1052"/>
      <c r="BL103" s="1052"/>
      <c r="BM103" s="1052"/>
      <c r="BN103" s="1052"/>
      <c r="BO103" s="1052"/>
      <c r="BP103" s="1052"/>
      <c r="BQ103" s="1052"/>
      <c r="BR103" s="1052"/>
      <c r="BS103" s="1052"/>
      <c r="BT103" s="1052"/>
    </row>
    <row r="104" spans="61:72" customFormat="1">
      <c r="BI104" s="1052"/>
      <c r="BJ104" s="1052"/>
      <c r="BK104" s="1052"/>
      <c r="BL104" s="1052"/>
      <c r="BM104" s="1052"/>
      <c r="BN104" s="1052"/>
      <c r="BO104" s="1052"/>
      <c r="BP104" s="1052"/>
      <c r="BQ104" s="1052"/>
      <c r="BR104" s="1052"/>
      <c r="BS104" s="1052"/>
      <c r="BT104" s="1052"/>
    </row>
    <row r="105" spans="61:72" customFormat="1">
      <c r="BI105" s="1052"/>
      <c r="BJ105" s="1052"/>
      <c r="BK105" s="1052"/>
      <c r="BL105" s="1052"/>
      <c r="BM105" s="1052"/>
      <c r="BN105" s="1052"/>
      <c r="BO105" s="1052"/>
      <c r="BP105" s="1052"/>
      <c r="BQ105" s="1052"/>
      <c r="BR105" s="1052"/>
      <c r="BS105" s="1052"/>
      <c r="BT105" s="1052"/>
    </row>
    <row r="106" spans="61:72" customFormat="1">
      <c r="BI106" s="1052"/>
      <c r="BJ106" s="1052"/>
      <c r="BK106" s="1052"/>
      <c r="BL106" s="1052"/>
      <c r="BM106" s="1052"/>
      <c r="BN106" s="1052"/>
      <c r="BO106" s="1052"/>
      <c r="BP106" s="1052"/>
      <c r="BQ106" s="1052"/>
      <c r="BR106" s="1052"/>
      <c r="BS106" s="1052"/>
      <c r="BT106" s="1052"/>
    </row>
    <row r="107" spans="61:72" customFormat="1">
      <c r="BI107" s="1052"/>
      <c r="BJ107" s="1052"/>
      <c r="BK107" s="1052"/>
      <c r="BL107" s="1052"/>
      <c r="BM107" s="1052"/>
      <c r="BN107" s="1052"/>
      <c r="BO107" s="1052"/>
      <c r="BP107" s="1052"/>
      <c r="BQ107" s="1052"/>
      <c r="BR107" s="1052"/>
      <c r="BS107" s="1052"/>
      <c r="BT107" s="1052"/>
    </row>
    <row r="108" spans="61:72" customFormat="1">
      <c r="BI108" s="1052"/>
      <c r="BJ108" s="1052"/>
      <c r="BK108" s="1052"/>
      <c r="BL108" s="1052"/>
      <c r="BM108" s="1052"/>
      <c r="BN108" s="1052"/>
      <c r="BO108" s="1052"/>
      <c r="BP108" s="1052"/>
      <c r="BQ108" s="1052"/>
      <c r="BR108" s="1052"/>
      <c r="BS108" s="1052"/>
      <c r="BT108" s="1052"/>
    </row>
    <row r="109" spans="61:72" customFormat="1">
      <c r="BI109" s="1052"/>
      <c r="BJ109" s="1052"/>
      <c r="BK109" s="1052"/>
      <c r="BL109" s="1052"/>
      <c r="BM109" s="1052"/>
      <c r="BN109" s="1052"/>
      <c r="BO109" s="1052"/>
      <c r="BP109" s="1052"/>
      <c r="BQ109" s="1052"/>
      <c r="BR109" s="1052"/>
      <c r="BS109" s="1052"/>
      <c r="BT109" s="1052"/>
    </row>
    <row r="110" spans="61:72" customFormat="1">
      <c r="BI110" s="1052"/>
      <c r="BJ110" s="1052"/>
      <c r="BK110" s="1052"/>
      <c r="BL110" s="1052"/>
      <c r="BM110" s="1052"/>
      <c r="BN110" s="1052"/>
      <c r="BO110" s="1052"/>
      <c r="BP110" s="1052"/>
      <c r="BQ110" s="1052"/>
      <c r="BR110" s="1052"/>
      <c r="BS110" s="1052"/>
      <c r="BT110" s="1052"/>
    </row>
    <row r="111" spans="61:72" customFormat="1">
      <c r="BI111" s="1052"/>
      <c r="BJ111" s="1052"/>
      <c r="BK111" s="1052"/>
      <c r="BL111" s="1052"/>
      <c r="BM111" s="1052"/>
      <c r="BN111" s="1052"/>
      <c r="BO111" s="1052"/>
      <c r="BP111" s="1052"/>
      <c r="BQ111" s="1052"/>
      <c r="BR111" s="1052"/>
      <c r="BS111" s="1052"/>
      <c r="BT111" s="1052"/>
    </row>
    <row r="112" spans="61:72" customFormat="1">
      <c r="BI112" s="1052"/>
      <c r="BJ112" s="1052"/>
      <c r="BK112" s="1052"/>
      <c r="BL112" s="1052"/>
      <c r="BM112" s="1052"/>
      <c r="BN112" s="1052"/>
      <c r="BO112" s="1052"/>
      <c r="BP112" s="1052"/>
      <c r="BQ112" s="1052"/>
      <c r="BR112" s="1052"/>
      <c r="BS112" s="1052"/>
      <c r="BT112" s="1052"/>
    </row>
    <row r="113" spans="61:72" customFormat="1">
      <c r="BI113" s="1052"/>
      <c r="BJ113" s="1052"/>
      <c r="BK113" s="1052"/>
      <c r="BL113" s="1052"/>
      <c r="BM113" s="1052"/>
      <c r="BN113" s="1052"/>
      <c r="BO113" s="1052"/>
      <c r="BP113" s="1052"/>
      <c r="BQ113" s="1052"/>
      <c r="BR113" s="1052"/>
      <c r="BS113" s="1052"/>
      <c r="BT113" s="1052"/>
    </row>
    <row r="114" spans="61:72" customFormat="1">
      <c r="BI114" s="1052"/>
      <c r="BJ114" s="1052"/>
      <c r="BK114" s="1052"/>
      <c r="BL114" s="1052"/>
      <c r="BM114" s="1052"/>
      <c r="BN114" s="1052"/>
      <c r="BO114" s="1052"/>
      <c r="BP114" s="1052"/>
      <c r="BQ114" s="1052"/>
      <c r="BR114" s="1052"/>
      <c r="BS114" s="1052"/>
      <c r="BT114" s="1052"/>
    </row>
    <row r="115" spans="61:72" customFormat="1">
      <c r="BI115" s="1052"/>
      <c r="BJ115" s="1052"/>
      <c r="BK115" s="1052"/>
      <c r="BL115" s="1052"/>
      <c r="BM115" s="1052"/>
      <c r="BN115" s="1052"/>
      <c r="BO115" s="1052"/>
      <c r="BP115" s="1052"/>
      <c r="BQ115" s="1052"/>
      <c r="BR115" s="1052"/>
      <c r="BS115" s="1052"/>
      <c r="BT115" s="1052"/>
    </row>
    <row r="116" spans="61:72" customFormat="1">
      <c r="BI116" s="1052"/>
      <c r="BJ116" s="1052"/>
      <c r="BK116" s="1052"/>
      <c r="BL116" s="1052"/>
      <c r="BM116" s="1052"/>
      <c r="BN116" s="1052"/>
      <c r="BO116" s="1052"/>
      <c r="BP116" s="1052"/>
      <c r="BQ116" s="1052"/>
      <c r="BR116" s="1052"/>
      <c r="BS116" s="1052"/>
      <c r="BT116" s="1052"/>
    </row>
    <row r="117" spans="61:72" customFormat="1">
      <c r="BI117" s="1052"/>
      <c r="BJ117" s="1052"/>
      <c r="BK117" s="1052"/>
      <c r="BL117" s="1052"/>
      <c r="BM117" s="1052"/>
      <c r="BN117" s="1052"/>
      <c r="BO117" s="1052"/>
      <c r="BP117" s="1052"/>
      <c r="BQ117" s="1052"/>
      <c r="BR117" s="1052"/>
      <c r="BS117" s="1052"/>
      <c r="BT117" s="1052"/>
    </row>
    <row r="118" spans="61:72" customFormat="1">
      <c r="BI118" s="1052"/>
      <c r="BJ118" s="1052"/>
      <c r="BK118" s="1052"/>
      <c r="BL118" s="1052"/>
      <c r="BM118" s="1052"/>
      <c r="BN118" s="1052"/>
      <c r="BO118" s="1052"/>
      <c r="BP118" s="1052"/>
      <c r="BQ118" s="1052"/>
      <c r="BR118" s="1052"/>
      <c r="BS118" s="1052"/>
      <c r="BT118" s="1052"/>
    </row>
    <row r="119" spans="61:72" customFormat="1">
      <c r="BI119" s="1052"/>
      <c r="BJ119" s="1052"/>
      <c r="BK119" s="1052"/>
      <c r="BL119" s="1052"/>
      <c r="BM119" s="1052"/>
      <c r="BN119" s="1052"/>
      <c r="BO119" s="1052"/>
      <c r="BP119" s="1052"/>
      <c r="BQ119" s="1052"/>
      <c r="BR119" s="1052"/>
      <c r="BS119" s="1052"/>
      <c r="BT119" s="1052"/>
    </row>
    <row r="120" spans="61:72" customFormat="1">
      <c r="BI120" s="1052"/>
      <c r="BJ120" s="1052"/>
      <c r="BK120" s="1052"/>
      <c r="BL120" s="1052"/>
      <c r="BM120" s="1052"/>
      <c r="BN120" s="1052"/>
      <c r="BO120" s="1052"/>
      <c r="BP120" s="1052"/>
      <c r="BQ120" s="1052"/>
      <c r="BR120" s="1052"/>
      <c r="BS120" s="1052"/>
      <c r="BT120" s="1052"/>
    </row>
    <row r="121" spans="61:72" customFormat="1">
      <c r="BI121" s="1052"/>
      <c r="BJ121" s="1052"/>
      <c r="BK121" s="1052"/>
      <c r="BL121" s="1052"/>
      <c r="BM121" s="1052"/>
      <c r="BN121" s="1052"/>
      <c r="BO121" s="1052"/>
      <c r="BP121" s="1052"/>
      <c r="BQ121" s="1052"/>
      <c r="BR121" s="1052"/>
      <c r="BS121" s="1052"/>
      <c r="BT121" s="1052"/>
    </row>
    <row r="122" spans="61:72" customFormat="1">
      <c r="BI122" s="1052"/>
      <c r="BJ122" s="1052"/>
      <c r="BK122" s="1052"/>
      <c r="BL122" s="1052"/>
      <c r="BM122" s="1052"/>
      <c r="BN122" s="1052"/>
      <c r="BO122" s="1052"/>
      <c r="BP122" s="1052"/>
      <c r="BQ122" s="1052"/>
      <c r="BR122" s="1052"/>
      <c r="BS122" s="1052"/>
      <c r="BT122" s="1052"/>
    </row>
    <row r="123" spans="61:72" customFormat="1">
      <c r="BI123" s="1052"/>
      <c r="BJ123" s="1052"/>
      <c r="BK123" s="1052"/>
      <c r="BL123" s="1052"/>
      <c r="BM123" s="1052"/>
      <c r="BN123" s="1052"/>
      <c r="BO123" s="1052"/>
      <c r="BP123" s="1052"/>
      <c r="BQ123" s="1052"/>
      <c r="BR123" s="1052"/>
      <c r="BS123" s="1052"/>
      <c r="BT123" s="1052"/>
    </row>
    <row r="124" spans="61:72" customFormat="1">
      <c r="BI124" s="1052"/>
      <c r="BJ124" s="1052"/>
      <c r="BK124" s="1052"/>
      <c r="BL124" s="1052"/>
      <c r="BM124" s="1052"/>
      <c r="BN124" s="1052"/>
      <c r="BO124" s="1052"/>
      <c r="BP124" s="1052"/>
      <c r="BQ124" s="1052"/>
      <c r="BR124" s="1052"/>
      <c r="BS124" s="1052"/>
      <c r="BT124" s="1052"/>
    </row>
    <row r="125" spans="61:72" customFormat="1">
      <c r="BI125" s="1052"/>
      <c r="BJ125" s="1052"/>
      <c r="BK125" s="1052"/>
      <c r="BL125" s="1052"/>
      <c r="BM125" s="1052"/>
      <c r="BN125" s="1052"/>
      <c r="BO125" s="1052"/>
      <c r="BP125" s="1052"/>
      <c r="BQ125" s="1052"/>
      <c r="BR125" s="1052"/>
      <c r="BS125" s="1052"/>
      <c r="BT125" s="1052"/>
    </row>
    <row r="126" spans="61:72" customFormat="1">
      <c r="BI126" s="1052"/>
      <c r="BJ126" s="1052"/>
      <c r="BK126" s="1052"/>
      <c r="BL126" s="1052"/>
      <c r="BM126" s="1052"/>
      <c r="BN126" s="1052"/>
      <c r="BO126" s="1052"/>
      <c r="BP126" s="1052"/>
      <c r="BQ126" s="1052"/>
      <c r="BR126" s="1052"/>
      <c r="BS126" s="1052"/>
      <c r="BT126" s="1052"/>
    </row>
    <row r="127" spans="61:72" customFormat="1">
      <c r="BI127" s="1052"/>
      <c r="BJ127" s="1052"/>
      <c r="BK127" s="1052"/>
      <c r="BL127" s="1052"/>
      <c r="BM127" s="1052"/>
      <c r="BN127" s="1052"/>
      <c r="BO127" s="1052"/>
      <c r="BP127" s="1052"/>
      <c r="BQ127" s="1052"/>
      <c r="BR127" s="1052"/>
      <c r="BS127" s="1052"/>
      <c r="BT127" s="1052"/>
    </row>
    <row r="128" spans="61:72" customFormat="1">
      <c r="BI128" s="1052"/>
      <c r="BJ128" s="1052"/>
      <c r="BK128" s="1052"/>
      <c r="BL128" s="1052"/>
      <c r="BM128" s="1052"/>
      <c r="BN128" s="1052"/>
      <c r="BO128" s="1052"/>
      <c r="BP128" s="1052"/>
      <c r="BQ128" s="1052"/>
      <c r="BR128" s="1052"/>
      <c r="BS128" s="1052"/>
      <c r="BT128" s="1052"/>
    </row>
    <row r="129" spans="61:72" customFormat="1">
      <c r="BI129" s="1052"/>
      <c r="BJ129" s="1052"/>
      <c r="BK129" s="1052"/>
      <c r="BL129" s="1052"/>
      <c r="BM129" s="1052"/>
      <c r="BN129" s="1052"/>
      <c r="BO129" s="1052"/>
      <c r="BP129" s="1052"/>
      <c r="BQ129" s="1052"/>
      <c r="BR129" s="1052"/>
      <c r="BS129" s="1052"/>
      <c r="BT129" s="1052"/>
    </row>
    <row r="130" spans="61:72" customFormat="1">
      <c r="BI130" s="1052"/>
      <c r="BJ130" s="1052"/>
      <c r="BK130" s="1052"/>
      <c r="BL130" s="1052"/>
      <c r="BM130" s="1052"/>
      <c r="BN130" s="1052"/>
      <c r="BO130" s="1052"/>
      <c r="BP130" s="1052"/>
      <c r="BQ130" s="1052"/>
      <c r="BR130" s="1052"/>
      <c r="BS130" s="1052"/>
      <c r="BT130" s="1052"/>
    </row>
    <row r="131" spans="61:72" customFormat="1">
      <c r="BI131" s="1052"/>
      <c r="BJ131" s="1052"/>
      <c r="BK131" s="1052"/>
      <c r="BL131" s="1052"/>
      <c r="BM131" s="1052"/>
      <c r="BN131" s="1052"/>
      <c r="BO131" s="1052"/>
      <c r="BP131" s="1052"/>
      <c r="BQ131" s="1052"/>
      <c r="BR131" s="1052"/>
      <c r="BS131" s="1052"/>
      <c r="BT131" s="1052"/>
    </row>
    <row r="132" spans="61:72" customFormat="1">
      <c r="BI132" s="1052"/>
      <c r="BJ132" s="1052"/>
      <c r="BK132" s="1052"/>
      <c r="BL132" s="1052"/>
      <c r="BM132" s="1052"/>
      <c r="BN132" s="1052"/>
      <c r="BO132" s="1052"/>
      <c r="BP132" s="1052"/>
      <c r="BQ132" s="1052"/>
      <c r="BR132" s="1052"/>
      <c r="BS132" s="1052"/>
      <c r="BT132" s="1052"/>
    </row>
    <row r="133" spans="61:72" customFormat="1">
      <c r="BI133" s="1052"/>
      <c r="BJ133" s="1052"/>
      <c r="BK133" s="1052"/>
      <c r="BL133" s="1052"/>
      <c r="BM133" s="1052"/>
      <c r="BN133" s="1052"/>
      <c r="BO133" s="1052"/>
      <c r="BP133" s="1052"/>
      <c r="BQ133" s="1052"/>
      <c r="BR133" s="1052"/>
      <c r="BS133" s="1052"/>
      <c r="BT133" s="1052"/>
    </row>
    <row r="134" spans="61:72" customFormat="1">
      <c r="BI134" s="1052"/>
      <c r="BJ134" s="1052"/>
      <c r="BK134" s="1052"/>
      <c r="BL134" s="1052"/>
      <c r="BM134" s="1052"/>
      <c r="BN134" s="1052"/>
      <c r="BO134" s="1052"/>
      <c r="BP134" s="1052"/>
      <c r="BQ134" s="1052"/>
      <c r="BR134" s="1052"/>
      <c r="BS134" s="1052"/>
      <c r="BT134" s="1052"/>
    </row>
    <row r="135" spans="61:72" customFormat="1">
      <c r="BI135" s="1052"/>
      <c r="BJ135" s="1052"/>
      <c r="BK135" s="1052"/>
      <c r="BL135" s="1052"/>
      <c r="BM135" s="1052"/>
      <c r="BN135" s="1052"/>
      <c r="BO135" s="1052"/>
      <c r="BP135" s="1052"/>
      <c r="BQ135" s="1052"/>
      <c r="BR135" s="1052"/>
      <c r="BS135" s="1052"/>
      <c r="BT135" s="1052"/>
    </row>
    <row r="136" spans="61:72" customFormat="1">
      <c r="BI136" s="1052"/>
      <c r="BJ136" s="1052"/>
      <c r="BK136" s="1052"/>
      <c r="BL136" s="1052"/>
      <c r="BM136" s="1052"/>
      <c r="BN136" s="1052"/>
      <c r="BO136" s="1052"/>
      <c r="BP136" s="1052"/>
      <c r="BQ136" s="1052"/>
      <c r="BR136" s="1052"/>
      <c r="BS136" s="1052"/>
      <c r="BT136" s="1052"/>
    </row>
    <row r="137" spans="61:72" customFormat="1">
      <c r="BI137" s="1052"/>
      <c r="BJ137" s="1052"/>
      <c r="BK137" s="1052"/>
      <c r="BL137" s="1052"/>
      <c r="BM137" s="1052"/>
      <c r="BN137" s="1052"/>
      <c r="BO137" s="1052"/>
      <c r="BP137" s="1052"/>
      <c r="BQ137" s="1052"/>
      <c r="BR137" s="1052"/>
      <c r="BS137" s="1052"/>
      <c r="BT137" s="1052"/>
    </row>
    <row r="138" spans="61:72" customFormat="1">
      <c r="BI138" s="1052"/>
      <c r="BJ138" s="1052"/>
      <c r="BK138" s="1052"/>
      <c r="BL138" s="1052"/>
      <c r="BM138" s="1052"/>
      <c r="BN138" s="1052"/>
      <c r="BO138" s="1052"/>
      <c r="BP138" s="1052"/>
      <c r="BQ138" s="1052"/>
      <c r="BR138" s="1052"/>
      <c r="BS138" s="1052"/>
      <c r="BT138" s="1052"/>
    </row>
    <row r="139" spans="61:72" customFormat="1">
      <c r="BI139" s="1052"/>
      <c r="BJ139" s="1052"/>
      <c r="BK139" s="1052"/>
      <c r="BL139" s="1052"/>
      <c r="BM139" s="1052"/>
      <c r="BN139" s="1052"/>
      <c r="BO139" s="1052"/>
      <c r="BP139" s="1052"/>
      <c r="BQ139" s="1052"/>
      <c r="BR139" s="1052"/>
      <c r="BS139" s="1052"/>
      <c r="BT139" s="1052"/>
    </row>
    <row r="140" spans="61:72" customFormat="1">
      <c r="BI140" s="1052"/>
      <c r="BJ140" s="1052"/>
      <c r="BK140" s="1052"/>
      <c r="BL140" s="1052"/>
      <c r="BM140" s="1052"/>
      <c r="BN140" s="1052"/>
      <c r="BO140" s="1052"/>
      <c r="BP140" s="1052"/>
      <c r="BQ140" s="1052"/>
      <c r="BR140" s="1052"/>
      <c r="BS140" s="1052"/>
      <c r="BT140" s="1052"/>
    </row>
    <row r="141" spans="61:72" customFormat="1">
      <c r="BI141" s="1052"/>
      <c r="BJ141" s="1052"/>
      <c r="BK141" s="1052"/>
      <c r="BL141" s="1052"/>
      <c r="BM141" s="1052"/>
      <c r="BN141" s="1052"/>
      <c r="BO141" s="1052"/>
      <c r="BP141" s="1052"/>
      <c r="BQ141" s="1052"/>
      <c r="BR141" s="1052"/>
      <c r="BS141" s="1052"/>
      <c r="BT141" s="1052"/>
    </row>
    <row r="142" spans="61:72" customFormat="1">
      <c r="BI142" s="1052"/>
      <c r="BJ142" s="1052"/>
      <c r="BK142" s="1052"/>
      <c r="BL142" s="1052"/>
      <c r="BM142" s="1052"/>
      <c r="BN142" s="1052"/>
      <c r="BO142" s="1052"/>
      <c r="BP142" s="1052"/>
      <c r="BQ142" s="1052"/>
      <c r="BR142" s="1052"/>
      <c r="BS142" s="1052"/>
      <c r="BT142" s="1052"/>
    </row>
    <row r="143" spans="61:72" customFormat="1">
      <c r="BI143" s="1052"/>
      <c r="BJ143" s="1052"/>
      <c r="BK143" s="1052"/>
      <c r="BL143" s="1052"/>
      <c r="BM143" s="1052"/>
      <c r="BN143" s="1052"/>
      <c r="BO143" s="1052"/>
      <c r="BP143" s="1052"/>
      <c r="BQ143" s="1052"/>
      <c r="BR143" s="1052"/>
      <c r="BS143" s="1052"/>
      <c r="BT143" s="1052"/>
    </row>
    <row r="144" spans="61:72" customFormat="1">
      <c r="BI144" s="1052"/>
      <c r="BJ144" s="1052"/>
      <c r="BK144" s="1052"/>
      <c r="BL144" s="1052"/>
      <c r="BM144" s="1052"/>
      <c r="BN144" s="1052"/>
      <c r="BO144" s="1052"/>
      <c r="BP144" s="1052"/>
      <c r="BQ144" s="1052"/>
      <c r="BR144" s="1052"/>
      <c r="BS144" s="1052"/>
      <c r="BT144" s="1052"/>
    </row>
    <row r="145" spans="61:72" customFormat="1">
      <c r="BI145" s="1052"/>
      <c r="BJ145" s="1052"/>
      <c r="BK145" s="1052"/>
      <c r="BL145" s="1052"/>
      <c r="BM145" s="1052"/>
      <c r="BN145" s="1052"/>
      <c r="BO145" s="1052"/>
      <c r="BP145" s="1052"/>
      <c r="BQ145" s="1052"/>
      <c r="BR145" s="1052"/>
      <c r="BS145" s="1052"/>
      <c r="BT145" s="1052"/>
    </row>
    <row r="146" spans="61:72" customFormat="1">
      <c r="BI146" s="1052"/>
      <c r="BJ146" s="1052"/>
      <c r="BK146" s="1052"/>
      <c r="BL146" s="1052"/>
      <c r="BM146" s="1052"/>
      <c r="BN146" s="1052"/>
      <c r="BO146" s="1052"/>
      <c r="BP146" s="1052"/>
      <c r="BQ146" s="1052"/>
      <c r="BR146" s="1052"/>
      <c r="BS146" s="1052"/>
      <c r="BT146" s="1052"/>
    </row>
    <row r="147" spans="61:72" customFormat="1">
      <c r="BI147" s="1052"/>
      <c r="BJ147" s="1052"/>
      <c r="BK147" s="1052"/>
      <c r="BL147" s="1052"/>
      <c r="BM147" s="1052"/>
      <c r="BN147" s="1052"/>
      <c r="BO147" s="1052"/>
      <c r="BP147" s="1052"/>
      <c r="BQ147" s="1052"/>
      <c r="BR147" s="1052"/>
      <c r="BS147" s="1052"/>
      <c r="BT147" s="1052"/>
    </row>
    <row r="148" spans="61:72" customFormat="1">
      <c r="BI148" s="1052"/>
      <c r="BJ148" s="1052"/>
      <c r="BK148" s="1052"/>
      <c r="BL148" s="1052"/>
      <c r="BM148" s="1052"/>
      <c r="BN148" s="1052"/>
      <c r="BO148" s="1052"/>
      <c r="BP148" s="1052"/>
      <c r="BQ148" s="1052"/>
      <c r="BR148" s="1052"/>
      <c r="BS148" s="1052"/>
      <c r="BT148" s="1052"/>
    </row>
    <row r="149" spans="61:72" customFormat="1">
      <c r="BI149" s="1052"/>
      <c r="BJ149" s="1052"/>
      <c r="BK149" s="1052"/>
      <c r="BL149" s="1052"/>
      <c r="BM149" s="1052"/>
      <c r="BN149" s="1052"/>
      <c r="BO149" s="1052"/>
      <c r="BP149" s="1052"/>
      <c r="BQ149" s="1052"/>
      <c r="BR149" s="1052"/>
      <c r="BS149" s="1052"/>
      <c r="BT149" s="1052"/>
    </row>
    <row r="150" spans="61:72" customFormat="1">
      <c r="BI150" s="1052"/>
      <c r="BJ150" s="1052"/>
      <c r="BK150" s="1052"/>
      <c r="BL150" s="1052"/>
      <c r="BM150" s="1052"/>
      <c r="BN150" s="1052"/>
      <c r="BO150" s="1052"/>
      <c r="BP150" s="1052"/>
      <c r="BQ150" s="1052"/>
      <c r="BR150" s="1052"/>
      <c r="BS150" s="1052"/>
      <c r="BT150" s="1052"/>
    </row>
    <row r="151" spans="61:72" customFormat="1">
      <c r="BI151" s="1052"/>
      <c r="BJ151" s="1052"/>
      <c r="BK151" s="1052"/>
      <c r="BL151" s="1052"/>
      <c r="BM151" s="1052"/>
      <c r="BN151" s="1052"/>
      <c r="BO151" s="1052"/>
      <c r="BP151" s="1052"/>
      <c r="BQ151" s="1052"/>
      <c r="BR151" s="1052"/>
      <c r="BS151" s="1052"/>
      <c r="BT151" s="1052"/>
    </row>
    <row r="152" spans="61:72" customFormat="1">
      <c r="BI152" s="1052"/>
      <c r="BJ152" s="1052"/>
      <c r="BK152" s="1052"/>
      <c r="BL152" s="1052"/>
      <c r="BM152" s="1052"/>
      <c r="BN152" s="1052"/>
      <c r="BO152" s="1052"/>
      <c r="BP152" s="1052"/>
      <c r="BQ152" s="1052"/>
      <c r="BR152" s="1052"/>
      <c r="BS152" s="1052"/>
      <c r="BT152" s="1052"/>
    </row>
    <row r="153" spans="61:72" customFormat="1">
      <c r="BI153" s="1052"/>
      <c r="BJ153" s="1052"/>
      <c r="BK153" s="1052"/>
      <c r="BL153" s="1052"/>
      <c r="BM153" s="1052"/>
      <c r="BN153" s="1052"/>
      <c r="BO153" s="1052"/>
      <c r="BP153" s="1052"/>
      <c r="BQ153" s="1052"/>
      <c r="BR153" s="1052"/>
      <c r="BS153" s="1052"/>
      <c r="BT153" s="1052"/>
    </row>
    <row r="154" spans="61:72" customFormat="1">
      <c r="BI154" s="1052"/>
      <c r="BJ154" s="1052"/>
      <c r="BK154" s="1052"/>
      <c r="BL154" s="1052"/>
      <c r="BM154" s="1052"/>
      <c r="BN154" s="1052"/>
      <c r="BO154" s="1052"/>
      <c r="BP154" s="1052"/>
      <c r="BQ154" s="1052"/>
      <c r="BR154" s="1052"/>
      <c r="BS154" s="1052"/>
      <c r="BT154" s="1052"/>
    </row>
    <row r="155" spans="61:72" customFormat="1">
      <c r="BI155" s="1052"/>
      <c r="BJ155" s="1052"/>
      <c r="BK155" s="1052"/>
      <c r="BL155" s="1052"/>
      <c r="BM155" s="1052"/>
      <c r="BN155" s="1052"/>
      <c r="BO155" s="1052"/>
      <c r="BP155" s="1052"/>
      <c r="BQ155" s="1052"/>
      <c r="BR155" s="1052"/>
      <c r="BS155" s="1052"/>
      <c r="BT155" s="1052"/>
    </row>
    <row r="156" spans="61:72" customFormat="1">
      <c r="BI156" s="1052"/>
      <c r="BJ156" s="1052"/>
      <c r="BK156" s="1052"/>
      <c r="BL156" s="1052"/>
      <c r="BM156" s="1052"/>
      <c r="BN156" s="1052"/>
      <c r="BO156" s="1052"/>
      <c r="BP156" s="1052"/>
      <c r="BQ156" s="1052"/>
      <c r="BR156" s="1052"/>
      <c r="BS156" s="1052"/>
      <c r="BT156" s="1052"/>
    </row>
    <row r="157" spans="61:72" customFormat="1">
      <c r="BI157" s="1052"/>
      <c r="BJ157" s="1052"/>
      <c r="BK157" s="1052"/>
      <c r="BL157" s="1052"/>
      <c r="BM157" s="1052"/>
      <c r="BN157" s="1052"/>
      <c r="BO157" s="1052"/>
      <c r="BP157" s="1052"/>
      <c r="BQ157" s="1052"/>
      <c r="BR157" s="1052"/>
      <c r="BS157" s="1052"/>
      <c r="BT157" s="1052"/>
    </row>
    <row r="158" spans="61:72" customFormat="1">
      <c r="BI158" s="1052"/>
      <c r="BJ158" s="1052"/>
      <c r="BK158" s="1052"/>
      <c r="BL158" s="1052"/>
      <c r="BM158" s="1052"/>
      <c r="BN158" s="1052"/>
      <c r="BO158" s="1052"/>
      <c r="BP158" s="1052"/>
      <c r="BQ158" s="1052"/>
      <c r="BR158" s="1052"/>
      <c r="BS158" s="1052"/>
      <c r="BT158" s="1052"/>
    </row>
    <row r="159" spans="61:72" customFormat="1">
      <c r="BI159" s="1052"/>
      <c r="BJ159" s="1052"/>
      <c r="BK159" s="1052"/>
      <c r="BL159" s="1052"/>
      <c r="BM159" s="1052"/>
      <c r="BN159" s="1052"/>
      <c r="BO159" s="1052"/>
      <c r="BP159" s="1052"/>
      <c r="BQ159" s="1052"/>
      <c r="BR159" s="1052"/>
      <c r="BS159" s="1052"/>
      <c r="BT159" s="1052"/>
    </row>
    <row r="160" spans="61:72" customFormat="1">
      <c r="BI160" s="1052"/>
      <c r="BJ160" s="1052"/>
      <c r="BK160" s="1052"/>
      <c r="BL160" s="1052"/>
      <c r="BM160" s="1052"/>
      <c r="BN160" s="1052"/>
      <c r="BO160" s="1052"/>
      <c r="BP160" s="1052"/>
      <c r="BQ160" s="1052"/>
      <c r="BR160" s="1052"/>
      <c r="BS160" s="1052"/>
      <c r="BT160" s="1052"/>
    </row>
    <row r="161" spans="61:72" customFormat="1">
      <c r="BI161" s="1052"/>
      <c r="BJ161" s="1052"/>
      <c r="BK161" s="1052"/>
      <c r="BL161" s="1052"/>
      <c r="BM161" s="1052"/>
      <c r="BN161" s="1052"/>
      <c r="BO161" s="1052"/>
      <c r="BP161" s="1052"/>
      <c r="BQ161" s="1052"/>
      <c r="BR161" s="1052"/>
      <c r="BS161" s="1052"/>
      <c r="BT161" s="1052"/>
    </row>
    <row r="162" spans="61:72" customFormat="1">
      <c r="BI162" s="1052"/>
      <c r="BJ162" s="1052"/>
      <c r="BK162" s="1052"/>
      <c r="BL162" s="1052"/>
      <c r="BM162" s="1052"/>
      <c r="BN162" s="1052"/>
      <c r="BO162" s="1052"/>
      <c r="BP162" s="1052"/>
      <c r="BQ162" s="1052"/>
      <c r="BR162" s="1052"/>
      <c r="BS162" s="1052"/>
      <c r="BT162" s="1052"/>
    </row>
    <row r="163" spans="61:72" customFormat="1">
      <c r="BI163" s="1052"/>
      <c r="BJ163" s="1052"/>
      <c r="BK163" s="1052"/>
      <c r="BL163" s="1052"/>
      <c r="BM163" s="1052"/>
      <c r="BN163" s="1052"/>
      <c r="BO163" s="1052"/>
      <c r="BP163" s="1052"/>
      <c r="BQ163" s="1052"/>
      <c r="BR163" s="1052"/>
      <c r="BS163" s="1052"/>
      <c r="BT163" s="1052"/>
    </row>
    <row r="164" spans="61:72" customFormat="1">
      <c r="BI164" s="1052"/>
      <c r="BJ164" s="1052"/>
      <c r="BK164" s="1052"/>
      <c r="BL164" s="1052"/>
      <c r="BM164" s="1052"/>
      <c r="BN164" s="1052"/>
      <c r="BO164" s="1052"/>
      <c r="BP164" s="1052"/>
      <c r="BQ164" s="1052"/>
      <c r="BR164" s="1052"/>
      <c r="BS164" s="1052"/>
      <c r="BT164" s="1052"/>
    </row>
    <row r="165" spans="61:72" customFormat="1">
      <c r="BI165" s="1052"/>
      <c r="BJ165" s="1052"/>
      <c r="BK165" s="1052"/>
      <c r="BL165" s="1052"/>
      <c r="BM165" s="1052"/>
      <c r="BN165" s="1052"/>
      <c r="BO165" s="1052"/>
      <c r="BP165" s="1052"/>
      <c r="BQ165" s="1052"/>
      <c r="BR165" s="1052"/>
      <c r="BS165" s="1052"/>
      <c r="BT165" s="1052"/>
    </row>
    <row r="166" spans="61:72" customFormat="1">
      <c r="BI166" s="1052"/>
      <c r="BJ166" s="1052"/>
      <c r="BK166" s="1052"/>
      <c r="BL166" s="1052"/>
      <c r="BM166" s="1052"/>
      <c r="BN166" s="1052"/>
      <c r="BO166" s="1052"/>
      <c r="BP166" s="1052"/>
      <c r="BQ166" s="1052"/>
      <c r="BR166" s="1052"/>
      <c r="BS166" s="1052"/>
      <c r="BT166" s="1052"/>
    </row>
    <row r="167" spans="61:72" customFormat="1">
      <c r="BI167" s="1052"/>
      <c r="BJ167" s="1052"/>
      <c r="BK167" s="1052"/>
      <c r="BL167" s="1052"/>
      <c r="BM167" s="1052"/>
      <c r="BN167" s="1052"/>
      <c r="BO167" s="1052"/>
      <c r="BP167" s="1052"/>
      <c r="BQ167" s="1052"/>
      <c r="BR167" s="1052"/>
      <c r="BS167" s="1052"/>
      <c r="BT167" s="1052"/>
    </row>
    <row r="168" spans="61:72" customFormat="1">
      <c r="BI168" s="1052"/>
      <c r="BJ168" s="1052"/>
      <c r="BK168" s="1052"/>
      <c r="BL168" s="1052"/>
      <c r="BM168" s="1052"/>
      <c r="BN168" s="1052"/>
      <c r="BO168" s="1052"/>
      <c r="BP168" s="1052"/>
      <c r="BQ168" s="1052"/>
      <c r="BR168" s="1052"/>
      <c r="BS168" s="1052"/>
      <c r="BT168" s="1052"/>
    </row>
    <row r="169" spans="61:72" customFormat="1">
      <c r="BI169" s="1052"/>
      <c r="BJ169" s="1052"/>
      <c r="BK169" s="1052"/>
      <c r="BL169" s="1052"/>
      <c r="BM169" s="1052"/>
      <c r="BN169" s="1052"/>
      <c r="BO169" s="1052"/>
      <c r="BP169" s="1052"/>
      <c r="BQ169" s="1052"/>
      <c r="BR169" s="1052"/>
      <c r="BS169" s="1052"/>
      <c r="BT169" s="1052"/>
    </row>
    <row r="170" spans="61:72" customFormat="1">
      <c r="BI170" s="1052"/>
      <c r="BJ170" s="1052"/>
      <c r="BK170" s="1052"/>
      <c r="BL170" s="1052"/>
      <c r="BM170" s="1052"/>
      <c r="BN170" s="1052"/>
      <c r="BO170" s="1052"/>
      <c r="BP170" s="1052"/>
      <c r="BQ170" s="1052"/>
      <c r="BR170" s="1052"/>
      <c r="BS170" s="1052"/>
      <c r="BT170" s="1052"/>
    </row>
    <row r="171" spans="61:72" customFormat="1">
      <c r="BI171" s="1052"/>
      <c r="BJ171" s="1052"/>
      <c r="BK171" s="1052"/>
      <c r="BL171" s="1052"/>
      <c r="BM171" s="1052"/>
      <c r="BN171" s="1052"/>
      <c r="BO171" s="1052"/>
      <c r="BP171" s="1052"/>
      <c r="BQ171" s="1052"/>
      <c r="BR171" s="1052"/>
      <c r="BS171" s="1052"/>
      <c r="BT171" s="1052"/>
    </row>
    <row r="172" spans="61:72" customFormat="1">
      <c r="BI172" s="1052"/>
      <c r="BJ172" s="1052"/>
      <c r="BK172" s="1052"/>
      <c r="BL172" s="1052"/>
      <c r="BM172" s="1052"/>
      <c r="BN172" s="1052"/>
      <c r="BO172" s="1052"/>
      <c r="BP172" s="1052"/>
      <c r="BQ172" s="1052"/>
      <c r="BR172" s="1052"/>
      <c r="BS172" s="1052"/>
      <c r="BT172" s="1052"/>
    </row>
    <row r="173" spans="61:72" customFormat="1">
      <c r="BI173" s="1052"/>
      <c r="BJ173" s="1052"/>
      <c r="BK173" s="1052"/>
      <c r="BL173" s="1052"/>
      <c r="BM173" s="1052"/>
      <c r="BN173" s="1052"/>
      <c r="BO173" s="1052"/>
      <c r="BP173" s="1052"/>
      <c r="BQ173" s="1052"/>
      <c r="BR173" s="1052"/>
      <c r="BS173" s="1052"/>
      <c r="BT173" s="1052"/>
    </row>
    <row r="174" spans="61:72" customFormat="1">
      <c r="BI174" s="1052"/>
      <c r="BJ174" s="1052"/>
      <c r="BK174" s="1052"/>
      <c r="BL174" s="1052"/>
      <c r="BM174" s="1052"/>
      <c r="BN174" s="1052"/>
      <c r="BO174" s="1052"/>
      <c r="BP174" s="1052"/>
      <c r="BQ174" s="1052"/>
      <c r="BR174" s="1052"/>
      <c r="BS174" s="1052"/>
      <c r="BT174" s="1052"/>
    </row>
    <row r="175" spans="61:72" customFormat="1">
      <c r="BI175" s="1052"/>
      <c r="BJ175" s="1052"/>
      <c r="BK175" s="1052"/>
      <c r="BL175" s="1052"/>
      <c r="BM175" s="1052"/>
      <c r="BN175" s="1052"/>
      <c r="BO175" s="1052"/>
      <c r="BP175" s="1052"/>
      <c r="BQ175" s="1052"/>
      <c r="BR175" s="1052"/>
      <c r="BS175" s="1052"/>
      <c r="BT175" s="1052"/>
    </row>
    <row r="176" spans="61:72" customFormat="1">
      <c r="BI176" s="1052"/>
      <c r="BJ176" s="1052"/>
      <c r="BK176" s="1052"/>
      <c r="BL176" s="1052"/>
      <c r="BM176" s="1052"/>
      <c r="BN176" s="1052"/>
      <c r="BO176" s="1052"/>
      <c r="BP176" s="1052"/>
      <c r="BQ176" s="1052"/>
      <c r="BR176" s="1052"/>
      <c r="BS176" s="1052"/>
      <c r="BT176" s="1052"/>
    </row>
    <row r="177" spans="61:72" customFormat="1">
      <c r="BI177" s="1052"/>
      <c r="BJ177" s="1052"/>
      <c r="BK177" s="1052"/>
      <c r="BL177" s="1052"/>
      <c r="BM177" s="1052"/>
      <c r="BN177" s="1052"/>
      <c r="BO177" s="1052"/>
      <c r="BP177" s="1052"/>
      <c r="BQ177" s="1052"/>
      <c r="BR177" s="1052"/>
      <c r="BS177" s="1052"/>
      <c r="BT177" s="1052"/>
    </row>
    <row r="178" spans="61:72" customFormat="1">
      <c r="BI178" s="1052"/>
      <c r="BJ178" s="1052"/>
      <c r="BK178" s="1052"/>
      <c r="BL178" s="1052"/>
      <c r="BM178" s="1052"/>
      <c r="BN178" s="1052"/>
      <c r="BO178" s="1052"/>
      <c r="BP178" s="1052"/>
      <c r="BQ178" s="1052"/>
      <c r="BR178" s="1052"/>
      <c r="BS178" s="1052"/>
      <c r="BT178" s="1052"/>
    </row>
    <row r="179" spans="61:72" customFormat="1">
      <c r="BI179" s="1052"/>
      <c r="BJ179" s="1052"/>
      <c r="BK179" s="1052"/>
      <c r="BL179" s="1052"/>
      <c r="BM179" s="1052"/>
      <c r="BN179" s="1052"/>
      <c r="BO179" s="1052"/>
      <c r="BP179" s="1052"/>
      <c r="BQ179" s="1052"/>
      <c r="BR179" s="1052"/>
      <c r="BS179" s="1052"/>
      <c r="BT179" s="1052"/>
    </row>
    <row r="180" spans="61:72" customFormat="1">
      <c r="BI180" s="1052"/>
      <c r="BJ180" s="1052"/>
      <c r="BK180" s="1052"/>
      <c r="BL180" s="1052"/>
      <c r="BM180" s="1052"/>
      <c r="BN180" s="1052"/>
      <c r="BO180" s="1052"/>
      <c r="BP180" s="1052"/>
      <c r="BQ180" s="1052"/>
      <c r="BR180" s="1052"/>
      <c r="BS180" s="1052"/>
      <c r="BT180" s="1052"/>
    </row>
    <row r="181" spans="61:72" customFormat="1">
      <c r="BI181" s="1052"/>
      <c r="BJ181" s="1052"/>
      <c r="BK181" s="1052"/>
      <c r="BL181" s="1052"/>
      <c r="BM181" s="1052"/>
      <c r="BN181" s="1052"/>
      <c r="BO181" s="1052"/>
      <c r="BP181" s="1052"/>
      <c r="BQ181" s="1052"/>
      <c r="BR181" s="1052"/>
      <c r="BS181" s="1052"/>
      <c r="BT181" s="1052"/>
    </row>
    <row r="182" spans="61:72" customFormat="1">
      <c r="BI182" s="1052"/>
      <c r="BJ182" s="1052"/>
      <c r="BK182" s="1052"/>
      <c r="BL182" s="1052"/>
      <c r="BM182" s="1052"/>
      <c r="BN182" s="1052"/>
      <c r="BO182" s="1052"/>
      <c r="BP182" s="1052"/>
      <c r="BQ182" s="1052"/>
      <c r="BR182" s="1052"/>
      <c r="BS182" s="1052"/>
      <c r="BT182" s="1052"/>
    </row>
    <row r="183" spans="61:72" customFormat="1">
      <c r="BI183" s="1052"/>
      <c r="BJ183" s="1052"/>
      <c r="BK183" s="1052"/>
      <c r="BL183" s="1052"/>
      <c r="BM183" s="1052"/>
      <c r="BN183" s="1052"/>
      <c r="BO183" s="1052"/>
      <c r="BP183" s="1052"/>
      <c r="BQ183" s="1052"/>
      <c r="BR183" s="1052"/>
      <c r="BS183" s="1052"/>
      <c r="BT183" s="1052"/>
    </row>
    <row r="184" spans="61:72" customFormat="1">
      <c r="BI184" s="1052"/>
      <c r="BJ184" s="1052"/>
      <c r="BK184" s="1052"/>
      <c r="BL184" s="1052"/>
      <c r="BM184" s="1052"/>
      <c r="BN184" s="1052"/>
      <c r="BO184" s="1052"/>
      <c r="BP184" s="1052"/>
      <c r="BQ184" s="1052"/>
      <c r="BR184" s="1052"/>
      <c r="BS184" s="1052"/>
      <c r="BT184" s="1052"/>
    </row>
    <row r="185" spans="61:72" customFormat="1">
      <c r="BI185" s="1052"/>
      <c r="BJ185" s="1052"/>
      <c r="BK185" s="1052"/>
      <c r="BL185" s="1052"/>
      <c r="BM185" s="1052"/>
      <c r="BN185" s="1052"/>
      <c r="BO185" s="1052"/>
      <c r="BP185" s="1052"/>
      <c r="BQ185" s="1052"/>
      <c r="BR185" s="1052"/>
      <c r="BS185" s="1052"/>
      <c r="BT185" s="1052"/>
    </row>
    <row r="186" spans="61:72" customFormat="1">
      <c r="BI186" s="1052"/>
      <c r="BJ186" s="1052"/>
      <c r="BK186" s="1052"/>
      <c r="BL186" s="1052"/>
      <c r="BM186" s="1052"/>
      <c r="BN186" s="1052"/>
      <c r="BO186" s="1052"/>
      <c r="BP186" s="1052"/>
      <c r="BQ186" s="1052"/>
      <c r="BR186" s="1052"/>
      <c r="BS186" s="1052"/>
      <c r="BT186" s="1052"/>
    </row>
    <row r="187" spans="61:72" customFormat="1">
      <c r="BI187" s="1052"/>
      <c r="BJ187" s="1052"/>
      <c r="BK187" s="1052"/>
      <c r="BL187" s="1052"/>
      <c r="BM187" s="1052"/>
      <c r="BN187" s="1052"/>
      <c r="BO187" s="1052"/>
      <c r="BP187" s="1052"/>
      <c r="BQ187" s="1052"/>
      <c r="BR187" s="1052"/>
      <c r="BS187" s="1052"/>
      <c r="BT187" s="1052"/>
    </row>
    <row r="188" spans="61:72" customFormat="1">
      <c r="BI188" s="1052"/>
      <c r="BJ188" s="1052"/>
      <c r="BK188" s="1052"/>
      <c r="BL188" s="1052"/>
      <c r="BM188" s="1052"/>
      <c r="BN188" s="1052"/>
      <c r="BO188" s="1052"/>
      <c r="BP188" s="1052"/>
      <c r="BQ188" s="1052"/>
      <c r="BR188" s="1052"/>
      <c r="BS188" s="1052"/>
      <c r="BT188" s="1052"/>
    </row>
    <row r="189" spans="61:72" customFormat="1">
      <c r="BI189" s="1052"/>
      <c r="BJ189" s="1052"/>
      <c r="BK189" s="1052"/>
      <c r="BL189" s="1052"/>
      <c r="BM189" s="1052"/>
      <c r="BN189" s="1052"/>
      <c r="BO189" s="1052"/>
      <c r="BP189" s="1052"/>
      <c r="BQ189" s="1052"/>
      <c r="BR189" s="1052"/>
      <c r="BS189" s="1052"/>
      <c r="BT189" s="1052"/>
    </row>
    <row r="190" spans="61:72" customFormat="1">
      <c r="BI190" s="1052"/>
      <c r="BJ190" s="1052"/>
      <c r="BK190" s="1052"/>
      <c r="BL190" s="1052"/>
      <c r="BM190" s="1052"/>
      <c r="BN190" s="1052"/>
      <c r="BO190" s="1052"/>
      <c r="BP190" s="1052"/>
      <c r="BQ190" s="1052"/>
      <c r="BR190" s="1052"/>
      <c r="BS190" s="1052"/>
      <c r="BT190" s="1052"/>
    </row>
    <row r="191" spans="61:72" customFormat="1">
      <c r="BI191" s="1052"/>
      <c r="BJ191" s="1052"/>
      <c r="BK191" s="1052"/>
      <c r="BL191" s="1052"/>
      <c r="BM191" s="1052"/>
      <c r="BN191" s="1052"/>
      <c r="BO191" s="1052"/>
      <c r="BP191" s="1052"/>
      <c r="BQ191" s="1052"/>
      <c r="BR191" s="1052"/>
      <c r="BS191" s="1052"/>
      <c r="BT191" s="1052"/>
    </row>
    <row r="192" spans="61:72" customFormat="1">
      <c r="BI192" s="1052"/>
      <c r="BJ192" s="1052"/>
      <c r="BK192" s="1052"/>
      <c r="BL192" s="1052"/>
      <c r="BM192" s="1052"/>
      <c r="BN192" s="1052"/>
      <c r="BO192" s="1052"/>
      <c r="BP192" s="1052"/>
      <c r="BQ192" s="1052"/>
      <c r="BR192" s="1052"/>
      <c r="BS192" s="1052"/>
      <c r="BT192" s="1052"/>
    </row>
    <row r="193" spans="61:72" customFormat="1">
      <c r="BI193" s="1052"/>
      <c r="BJ193" s="1052"/>
      <c r="BK193" s="1052"/>
      <c r="BL193" s="1052"/>
      <c r="BM193" s="1052"/>
      <c r="BN193" s="1052"/>
      <c r="BO193" s="1052"/>
      <c r="BP193" s="1052"/>
      <c r="BQ193" s="1052"/>
      <c r="BR193" s="1052"/>
      <c r="BS193" s="1052"/>
      <c r="BT193" s="1052"/>
    </row>
    <row r="194" spans="61:72" customFormat="1">
      <c r="BI194" s="1052"/>
      <c r="BJ194" s="1052"/>
      <c r="BK194" s="1052"/>
      <c r="BL194" s="1052"/>
      <c r="BM194" s="1052"/>
      <c r="BN194" s="1052"/>
      <c r="BO194" s="1052"/>
      <c r="BP194" s="1052"/>
      <c r="BQ194" s="1052"/>
      <c r="BR194" s="1052"/>
      <c r="BS194" s="1052"/>
      <c r="BT194" s="1052"/>
    </row>
    <row r="195" spans="61:72" customFormat="1">
      <c r="BI195" s="1052"/>
      <c r="BJ195" s="1052"/>
      <c r="BK195" s="1052"/>
      <c r="BL195" s="1052"/>
      <c r="BM195" s="1052"/>
      <c r="BN195" s="1052"/>
      <c r="BO195" s="1052"/>
      <c r="BP195" s="1052"/>
      <c r="BQ195" s="1052"/>
      <c r="BR195" s="1052"/>
      <c r="BS195" s="1052"/>
      <c r="BT195" s="1052"/>
    </row>
    <row r="196" spans="61:72" customFormat="1">
      <c r="BI196" s="1052"/>
      <c r="BJ196" s="1052"/>
      <c r="BK196" s="1052"/>
      <c r="BL196" s="1052"/>
      <c r="BM196" s="1052"/>
      <c r="BN196" s="1052"/>
      <c r="BO196" s="1052"/>
      <c r="BP196" s="1052"/>
      <c r="BQ196" s="1052"/>
      <c r="BR196" s="1052"/>
      <c r="BS196" s="1052"/>
      <c r="BT196" s="1052"/>
    </row>
    <row r="197" spans="61:72" customFormat="1">
      <c r="BI197" s="1052"/>
      <c r="BJ197" s="1052"/>
      <c r="BK197" s="1052"/>
      <c r="BL197" s="1052"/>
      <c r="BM197" s="1052"/>
      <c r="BN197" s="1052"/>
      <c r="BO197" s="1052"/>
      <c r="BP197" s="1052"/>
      <c r="BQ197" s="1052"/>
      <c r="BR197" s="1052"/>
      <c r="BS197" s="1052"/>
      <c r="BT197" s="1052"/>
    </row>
    <row r="198" spans="61:72" customFormat="1">
      <c r="BI198" s="1052"/>
      <c r="BJ198" s="1052"/>
      <c r="BK198" s="1052"/>
      <c r="BL198" s="1052"/>
      <c r="BM198" s="1052"/>
      <c r="BN198" s="1052"/>
      <c r="BO198" s="1052"/>
      <c r="BP198" s="1052"/>
      <c r="BQ198" s="1052"/>
      <c r="BR198" s="1052"/>
      <c r="BS198" s="1052"/>
      <c r="BT198" s="1052"/>
    </row>
    <row r="199" spans="61:72" customFormat="1">
      <c r="BI199" s="1052"/>
      <c r="BJ199" s="1052"/>
      <c r="BK199" s="1052"/>
      <c r="BL199" s="1052"/>
      <c r="BM199" s="1052"/>
      <c r="BN199" s="1052"/>
      <c r="BO199" s="1052"/>
      <c r="BP199" s="1052"/>
      <c r="BQ199" s="1052"/>
      <c r="BR199" s="1052"/>
      <c r="BS199" s="1052"/>
      <c r="BT199" s="1052"/>
    </row>
    <row r="200" spans="61:72" customFormat="1">
      <c r="BI200" s="1052"/>
      <c r="BJ200" s="1052"/>
      <c r="BK200" s="1052"/>
      <c r="BL200" s="1052"/>
      <c r="BM200" s="1052"/>
      <c r="BN200" s="1052"/>
      <c r="BO200" s="1052"/>
      <c r="BP200" s="1052"/>
      <c r="BQ200" s="1052"/>
      <c r="BR200" s="1052"/>
      <c r="BS200" s="1052"/>
      <c r="BT200" s="1052"/>
    </row>
    <row r="201" spans="61:72" customFormat="1">
      <c r="BI201" s="1052"/>
      <c r="BJ201" s="1052"/>
      <c r="BK201" s="1052"/>
      <c r="BL201" s="1052"/>
      <c r="BM201" s="1052"/>
      <c r="BN201" s="1052"/>
      <c r="BO201" s="1052"/>
      <c r="BP201" s="1052"/>
      <c r="BQ201" s="1052"/>
      <c r="BR201" s="1052"/>
      <c r="BS201" s="1052"/>
      <c r="BT201" s="1052"/>
    </row>
    <row r="202" spans="61:72" customFormat="1">
      <c r="BI202" s="1052"/>
      <c r="BJ202" s="1052"/>
      <c r="BK202" s="1052"/>
      <c r="BL202" s="1052"/>
      <c r="BM202" s="1052"/>
      <c r="BN202" s="1052"/>
      <c r="BO202" s="1052"/>
      <c r="BP202" s="1052"/>
      <c r="BQ202" s="1052"/>
      <c r="BR202" s="1052"/>
      <c r="BS202" s="1052"/>
      <c r="BT202" s="1052"/>
    </row>
    <row r="203" spans="61:72" customFormat="1">
      <c r="BI203" s="1052"/>
      <c r="BJ203" s="1052"/>
      <c r="BK203" s="1052"/>
      <c r="BL203" s="1052"/>
      <c r="BM203" s="1052"/>
      <c r="BN203" s="1052"/>
      <c r="BO203" s="1052"/>
      <c r="BP203" s="1052"/>
      <c r="BQ203" s="1052"/>
      <c r="BR203" s="1052"/>
      <c r="BS203" s="1052"/>
      <c r="BT203" s="1052"/>
    </row>
    <row r="204" spans="61:72" customFormat="1">
      <c r="BI204" s="1052"/>
      <c r="BJ204" s="1052"/>
      <c r="BK204" s="1052"/>
      <c r="BL204" s="1052"/>
      <c r="BM204" s="1052"/>
      <c r="BN204" s="1052"/>
      <c r="BO204" s="1052"/>
      <c r="BP204" s="1052"/>
      <c r="BQ204" s="1052"/>
      <c r="BR204" s="1052"/>
      <c r="BS204" s="1052"/>
      <c r="BT204" s="1052"/>
    </row>
    <row r="205" spans="61:72" customFormat="1">
      <c r="BI205" s="1052"/>
      <c r="BJ205" s="1052"/>
      <c r="BK205" s="1052"/>
      <c r="BL205" s="1052"/>
      <c r="BM205" s="1052"/>
      <c r="BN205" s="1052"/>
      <c r="BO205" s="1052"/>
      <c r="BP205" s="1052"/>
      <c r="BQ205" s="1052"/>
      <c r="BR205" s="1052"/>
      <c r="BS205" s="1052"/>
      <c r="BT205" s="1052"/>
    </row>
    <row r="206" spans="61:72" customFormat="1">
      <c r="BI206" s="1052"/>
      <c r="BJ206" s="1052"/>
      <c r="BK206" s="1052"/>
      <c r="BL206" s="1052"/>
      <c r="BM206" s="1052"/>
      <c r="BN206" s="1052"/>
      <c r="BO206" s="1052"/>
      <c r="BP206" s="1052"/>
      <c r="BQ206" s="1052"/>
      <c r="BR206" s="1052"/>
      <c r="BS206" s="1052"/>
      <c r="BT206" s="1052"/>
    </row>
    <row r="207" spans="61:72" customFormat="1">
      <c r="BI207" s="1052"/>
      <c r="BJ207" s="1052"/>
      <c r="BK207" s="1052"/>
      <c r="BL207" s="1052"/>
      <c r="BM207" s="1052"/>
      <c r="BN207" s="1052"/>
      <c r="BO207" s="1052"/>
      <c r="BP207" s="1052"/>
      <c r="BQ207" s="1052"/>
      <c r="BR207" s="1052"/>
      <c r="BS207" s="1052"/>
      <c r="BT207" s="1052"/>
    </row>
    <row r="208" spans="61:72" customFormat="1">
      <c r="BI208" s="1052"/>
      <c r="BJ208" s="1052"/>
      <c r="BK208" s="1052"/>
      <c r="BL208" s="1052"/>
      <c r="BM208" s="1052"/>
      <c r="BN208" s="1052"/>
      <c r="BO208" s="1052"/>
      <c r="BP208" s="1052"/>
      <c r="BQ208" s="1052"/>
      <c r="BR208" s="1052"/>
      <c r="BS208" s="1052"/>
      <c r="BT208" s="1052"/>
    </row>
    <row r="209" spans="61:72" customFormat="1">
      <c r="BI209" s="1052"/>
      <c r="BJ209" s="1052"/>
      <c r="BK209" s="1052"/>
      <c r="BL209" s="1052"/>
      <c r="BM209" s="1052"/>
      <c r="BN209" s="1052"/>
      <c r="BO209" s="1052"/>
      <c r="BP209" s="1052"/>
      <c r="BQ209" s="1052"/>
      <c r="BR209" s="1052"/>
      <c r="BS209" s="1052"/>
      <c r="BT209" s="1052"/>
    </row>
    <row r="210" spans="61:72" customFormat="1">
      <c r="BI210" s="1052"/>
      <c r="BJ210" s="1052"/>
      <c r="BK210" s="1052"/>
      <c r="BL210" s="1052"/>
      <c r="BM210" s="1052"/>
      <c r="BN210" s="1052"/>
      <c r="BO210" s="1052"/>
      <c r="BP210" s="1052"/>
      <c r="BQ210" s="1052"/>
      <c r="BR210" s="1052"/>
      <c r="BS210" s="1052"/>
      <c r="BT210" s="1052"/>
    </row>
    <row r="211" spans="61:72" customFormat="1">
      <c r="BI211" s="1052"/>
      <c r="BJ211" s="1052"/>
      <c r="BK211" s="1052"/>
      <c r="BL211" s="1052"/>
      <c r="BM211" s="1052"/>
      <c r="BN211" s="1052"/>
      <c r="BO211" s="1052"/>
      <c r="BP211" s="1052"/>
      <c r="BQ211" s="1052"/>
      <c r="BR211" s="1052"/>
      <c r="BS211" s="1052"/>
      <c r="BT211" s="1052"/>
    </row>
    <row r="212" spans="61:72" customFormat="1">
      <c r="BI212" s="1052"/>
      <c r="BJ212" s="1052"/>
      <c r="BK212" s="1052"/>
      <c r="BL212" s="1052"/>
      <c r="BM212" s="1052"/>
      <c r="BN212" s="1052"/>
      <c r="BO212" s="1052"/>
      <c r="BP212" s="1052"/>
      <c r="BQ212" s="1052"/>
      <c r="BR212" s="1052"/>
      <c r="BS212" s="1052"/>
      <c r="BT212" s="1052"/>
    </row>
    <row r="213" spans="61:72" customFormat="1">
      <c r="BI213" s="1052"/>
      <c r="BJ213" s="1052"/>
      <c r="BK213" s="1052"/>
      <c r="BL213" s="1052"/>
      <c r="BM213" s="1052"/>
      <c r="BN213" s="1052"/>
      <c r="BO213" s="1052"/>
      <c r="BP213" s="1052"/>
      <c r="BQ213" s="1052"/>
      <c r="BR213" s="1052"/>
      <c r="BS213" s="1052"/>
      <c r="BT213" s="1052"/>
    </row>
    <row r="214" spans="61:72" customFormat="1">
      <c r="BI214" s="1052"/>
      <c r="BJ214" s="1052"/>
      <c r="BK214" s="1052"/>
      <c r="BL214" s="1052"/>
      <c r="BM214" s="1052"/>
      <c r="BN214" s="1052"/>
      <c r="BO214" s="1052"/>
      <c r="BP214" s="1052"/>
      <c r="BQ214" s="1052"/>
      <c r="BR214" s="1052"/>
      <c r="BS214" s="1052"/>
      <c r="BT214" s="1052"/>
    </row>
    <row r="215" spans="61:72" customFormat="1">
      <c r="BI215" s="1052"/>
      <c r="BJ215" s="1052"/>
      <c r="BK215" s="1052"/>
      <c r="BL215" s="1052"/>
      <c r="BM215" s="1052"/>
      <c r="BN215" s="1052"/>
      <c r="BO215" s="1052"/>
      <c r="BP215" s="1052"/>
      <c r="BQ215" s="1052"/>
      <c r="BR215" s="1052"/>
      <c r="BS215" s="1052"/>
      <c r="BT215" s="1052"/>
    </row>
    <row r="216" spans="61:72" customFormat="1">
      <c r="BI216" s="1052"/>
      <c r="BJ216" s="1052"/>
      <c r="BK216" s="1052"/>
      <c r="BL216" s="1052"/>
      <c r="BM216" s="1052"/>
      <c r="BN216" s="1052"/>
      <c r="BO216" s="1052"/>
      <c r="BP216" s="1052"/>
      <c r="BQ216" s="1052"/>
      <c r="BR216" s="1052"/>
      <c r="BS216" s="1052"/>
      <c r="BT216" s="1052"/>
    </row>
    <row r="217" spans="61:72" customFormat="1">
      <c r="BI217" s="1052"/>
      <c r="BJ217" s="1052"/>
      <c r="BK217" s="1052"/>
      <c r="BL217" s="1052"/>
      <c r="BM217" s="1052"/>
      <c r="BN217" s="1052"/>
      <c r="BO217" s="1052"/>
      <c r="BP217" s="1052"/>
      <c r="BQ217" s="1052"/>
      <c r="BR217" s="1052"/>
      <c r="BS217" s="1052"/>
      <c r="BT217" s="1052"/>
    </row>
    <row r="218" spans="61:72" customFormat="1">
      <c r="BI218" s="1052"/>
      <c r="BJ218" s="1052"/>
      <c r="BK218" s="1052"/>
      <c r="BL218" s="1052"/>
      <c r="BM218" s="1052"/>
      <c r="BN218" s="1052"/>
      <c r="BO218" s="1052"/>
      <c r="BP218" s="1052"/>
      <c r="BQ218" s="1052"/>
      <c r="BR218" s="1052"/>
      <c r="BS218" s="1052"/>
      <c r="BT218" s="1052"/>
    </row>
    <row r="219" spans="61:72" customFormat="1">
      <c r="BI219" s="1052"/>
      <c r="BJ219" s="1052"/>
      <c r="BK219" s="1052"/>
      <c r="BL219" s="1052"/>
      <c r="BM219" s="1052"/>
      <c r="BN219" s="1052"/>
      <c r="BO219" s="1052"/>
      <c r="BP219" s="1052"/>
      <c r="BQ219" s="1052"/>
      <c r="BR219" s="1052"/>
      <c r="BS219" s="1052"/>
      <c r="BT219" s="1052"/>
    </row>
    <row r="220" spans="61:72" customFormat="1">
      <c r="BI220" s="1052"/>
      <c r="BJ220" s="1052"/>
      <c r="BK220" s="1052"/>
      <c r="BL220" s="1052"/>
      <c r="BM220" s="1052"/>
      <c r="BN220" s="1052"/>
      <c r="BO220" s="1052"/>
      <c r="BP220" s="1052"/>
      <c r="BQ220" s="1052"/>
      <c r="BR220" s="1052"/>
      <c r="BS220" s="1052"/>
      <c r="BT220" s="1052"/>
    </row>
    <row r="221" spans="61:72" customFormat="1">
      <c r="BI221" s="1052"/>
      <c r="BJ221" s="1052"/>
      <c r="BK221" s="1052"/>
      <c r="BL221" s="1052"/>
      <c r="BM221" s="1052"/>
      <c r="BN221" s="1052"/>
      <c r="BO221" s="1052"/>
      <c r="BP221" s="1052"/>
      <c r="BQ221" s="1052"/>
      <c r="BR221" s="1052"/>
      <c r="BS221" s="1052"/>
      <c r="BT221" s="1052"/>
    </row>
    <row r="222" spans="61:72" customFormat="1">
      <c r="BI222" s="1052"/>
      <c r="BJ222" s="1052"/>
      <c r="BK222" s="1052"/>
      <c r="BL222" s="1052"/>
      <c r="BM222" s="1052"/>
      <c r="BN222" s="1052"/>
      <c r="BO222" s="1052"/>
      <c r="BP222" s="1052"/>
      <c r="BQ222" s="1052"/>
      <c r="BR222" s="1052"/>
      <c r="BS222" s="1052"/>
      <c r="BT222" s="1052"/>
    </row>
    <row r="223" spans="61:72" customFormat="1">
      <c r="BI223" s="1052"/>
      <c r="BJ223" s="1052"/>
      <c r="BK223" s="1052"/>
      <c r="BL223" s="1052"/>
      <c r="BM223" s="1052"/>
      <c r="BN223" s="1052"/>
      <c r="BO223" s="1052"/>
      <c r="BP223" s="1052"/>
      <c r="BQ223" s="1052"/>
      <c r="BR223" s="1052"/>
      <c r="BS223" s="1052"/>
      <c r="BT223" s="1052"/>
    </row>
    <row r="224" spans="61:72" customFormat="1">
      <c r="BI224" s="1052"/>
      <c r="BJ224" s="1052"/>
      <c r="BK224" s="1052"/>
      <c r="BL224" s="1052"/>
      <c r="BM224" s="1052"/>
      <c r="BN224" s="1052"/>
      <c r="BO224" s="1052"/>
      <c r="BP224" s="1052"/>
      <c r="BQ224" s="1052"/>
      <c r="BR224" s="1052"/>
      <c r="BS224" s="1052"/>
      <c r="BT224" s="1052"/>
    </row>
    <row r="225" spans="61:72" customFormat="1">
      <c r="BI225" s="1052"/>
      <c r="BJ225" s="1052"/>
      <c r="BK225" s="1052"/>
      <c r="BL225" s="1052"/>
      <c r="BM225" s="1052"/>
      <c r="BN225" s="1052"/>
      <c r="BO225" s="1052"/>
      <c r="BP225" s="1052"/>
      <c r="BQ225" s="1052"/>
      <c r="BR225" s="1052"/>
      <c r="BS225" s="1052"/>
      <c r="BT225" s="1052"/>
    </row>
    <row r="226" spans="61:72" customFormat="1">
      <c r="BI226" s="1052"/>
      <c r="BJ226" s="1052"/>
      <c r="BK226" s="1052"/>
      <c r="BL226" s="1052"/>
      <c r="BM226" s="1052"/>
      <c r="BN226" s="1052"/>
      <c r="BO226" s="1052"/>
      <c r="BP226" s="1052"/>
      <c r="BQ226" s="1052"/>
      <c r="BR226" s="1052"/>
      <c r="BS226" s="1052"/>
      <c r="BT226" s="1052"/>
    </row>
    <row r="227" spans="61:72" customFormat="1">
      <c r="BI227" s="1052"/>
      <c r="BJ227" s="1052"/>
      <c r="BK227" s="1052"/>
      <c r="BL227" s="1052"/>
      <c r="BM227" s="1052"/>
      <c r="BN227" s="1052"/>
      <c r="BO227" s="1052"/>
      <c r="BP227" s="1052"/>
      <c r="BQ227" s="1052"/>
      <c r="BR227" s="1052"/>
      <c r="BS227" s="1052"/>
      <c r="BT227" s="1052"/>
    </row>
    <row r="228" spans="61:72" customFormat="1">
      <c r="BI228" s="1052"/>
      <c r="BJ228" s="1052"/>
      <c r="BK228" s="1052"/>
      <c r="BL228" s="1052"/>
      <c r="BM228" s="1052"/>
      <c r="BN228" s="1052"/>
      <c r="BO228" s="1052"/>
      <c r="BP228" s="1052"/>
      <c r="BQ228" s="1052"/>
      <c r="BR228" s="1052"/>
      <c r="BS228" s="1052"/>
      <c r="BT228" s="1052"/>
    </row>
    <row r="229" spans="61:72" customFormat="1">
      <c r="BI229" s="1052"/>
      <c r="BJ229" s="1052"/>
      <c r="BK229" s="1052"/>
      <c r="BL229" s="1052"/>
      <c r="BM229" s="1052"/>
      <c r="BN229" s="1052"/>
      <c r="BO229" s="1052"/>
      <c r="BP229" s="1052"/>
      <c r="BQ229" s="1052"/>
      <c r="BR229" s="1052"/>
      <c r="BS229" s="1052"/>
      <c r="BT229" s="1052"/>
    </row>
    <row r="230" spans="61:72" customFormat="1">
      <c r="BI230" s="1052"/>
      <c r="BJ230" s="1052"/>
      <c r="BK230" s="1052"/>
      <c r="BL230" s="1052"/>
      <c r="BM230" s="1052"/>
      <c r="BN230" s="1052"/>
      <c r="BO230" s="1052"/>
      <c r="BP230" s="1052"/>
      <c r="BQ230" s="1052"/>
      <c r="BR230" s="1052"/>
      <c r="BS230" s="1052"/>
      <c r="BT230" s="1052"/>
    </row>
    <row r="231" spans="61:72" customFormat="1">
      <c r="BI231" s="1052"/>
      <c r="BJ231" s="1052"/>
      <c r="BK231" s="1052"/>
      <c r="BL231" s="1052"/>
      <c r="BM231" s="1052"/>
      <c r="BN231" s="1052"/>
      <c r="BO231" s="1052"/>
      <c r="BP231" s="1052"/>
      <c r="BQ231" s="1052"/>
      <c r="BR231" s="1052"/>
      <c r="BS231" s="1052"/>
      <c r="BT231" s="1052"/>
    </row>
    <row r="232" spans="61:72" customFormat="1">
      <c r="BI232" s="1052"/>
      <c r="BJ232" s="1052"/>
      <c r="BK232" s="1052"/>
      <c r="BL232" s="1052"/>
      <c r="BM232" s="1052"/>
      <c r="BN232" s="1052"/>
      <c r="BO232" s="1052"/>
      <c r="BP232" s="1052"/>
      <c r="BQ232" s="1052"/>
      <c r="BR232" s="1052"/>
      <c r="BS232" s="1052"/>
      <c r="BT232" s="1052"/>
    </row>
    <row r="233" spans="61:72" customFormat="1">
      <c r="BI233" s="1052"/>
      <c r="BJ233" s="1052"/>
      <c r="BK233" s="1052"/>
      <c r="BL233" s="1052"/>
      <c r="BM233" s="1052"/>
      <c r="BN233" s="1052"/>
      <c r="BO233" s="1052"/>
      <c r="BP233" s="1052"/>
      <c r="BQ233" s="1052"/>
      <c r="BR233" s="1052"/>
      <c r="BS233" s="1052"/>
      <c r="BT233" s="1052"/>
    </row>
    <row r="234" spans="61:72" customFormat="1">
      <c r="BI234" s="1052"/>
      <c r="BJ234" s="1052"/>
      <c r="BK234" s="1052"/>
      <c r="BL234" s="1052"/>
      <c r="BM234" s="1052"/>
      <c r="BN234" s="1052"/>
      <c r="BO234" s="1052"/>
      <c r="BP234" s="1052"/>
      <c r="BQ234" s="1052"/>
      <c r="BR234" s="1052"/>
      <c r="BS234" s="1052"/>
      <c r="BT234" s="1052"/>
    </row>
    <row r="235" spans="61:72" customFormat="1">
      <c r="BI235" s="1052"/>
      <c r="BJ235" s="1052"/>
      <c r="BK235" s="1052"/>
      <c r="BL235" s="1052"/>
      <c r="BM235" s="1052"/>
      <c r="BN235" s="1052"/>
      <c r="BO235" s="1052"/>
      <c r="BP235" s="1052"/>
      <c r="BQ235" s="1052"/>
      <c r="BR235" s="1052"/>
      <c r="BS235" s="1052"/>
      <c r="BT235" s="1052"/>
    </row>
    <row r="236" spans="61:72" customFormat="1">
      <c r="BI236" s="1052"/>
      <c r="BJ236" s="1052"/>
      <c r="BK236" s="1052"/>
      <c r="BL236" s="1052"/>
      <c r="BM236" s="1052"/>
      <c r="BN236" s="1052"/>
      <c r="BO236" s="1052"/>
      <c r="BP236" s="1052"/>
      <c r="BQ236" s="1052"/>
      <c r="BR236" s="1052"/>
      <c r="BS236" s="1052"/>
      <c r="BT236" s="1052"/>
    </row>
    <row r="237" spans="61:72" customFormat="1">
      <c r="BI237" s="1052"/>
      <c r="BJ237" s="1052"/>
      <c r="BK237" s="1052"/>
      <c r="BL237" s="1052"/>
      <c r="BM237" s="1052"/>
      <c r="BN237" s="1052"/>
      <c r="BO237" s="1052"/>
      <c r="BP237" s="1052"/>
      <c r="BQ237" s="1052"/>
      <c r="BR237" s="1052"/>
      <c r="BS237" s="1052"/>
      <c r="BT237" s="1052"/>
    </row>
    <row r="238" spans="61:72" customFormat="1">
      <c r="BI238" s="1052"/>
      <c r="BJ238" s="1052"/>
      <c r="BK238" s="1052"/>
      <c r="BL238" s="1052"/>
      <c r="BM238" s="1052"/>
      <c r="BN238" s="1052"/>
      <c r="BO238" s="1052"/>
      <c r="BP238" s="1052"/>
      <c r="BQ238" s="1052"/>
      <c r="BR238" s="1052"/>
      <c r="BS238" s="1052"/>
      <c r="BT238" s="1052"/>
    </row>
    <row r="239" spans="61:72" customFormat="1">
      <c r="BI239" s="1052"/>
      <c r="BJ239" s="1052"/>
      <c r="BK239" s="1052"/>
      <c r="BL239" s="1052"/>
      <c r="BM239" s="1052"/>
      <c r="BN239" s="1052"/>
      <c r="BO239" s="1052"/>
      <c r="BP239" s="1052"/>
      <c r="BQ239" s="1052"/>
      <c r="BR239" s="1052"/>
      <c r="BS239" s="1052"/>
      <c r="BT239" s="1052"/>
    </row>
    <row r="240" spans="61:72" customFormat="1">
      <c r="BI240" s="1052"/>
      <c r="BJ240" s="1052"/>
      <c r="BK240" s="1052"/>
      <c r="BL240" s="1052"/>
      <c r="BM240" s="1052"/>
      <c r="BN240" s="1052"/>
      <c r="BO240" s="1052"/>
      <c r="BP240" s="1052"/>
      <c r="BQ240" s="1052"/>
      <c r="BR240" s="1052"/>
      <c r="BS240" s="1052"/>
      <c r="BT240" s="1052"/>
    </row>
    <row r="241" spans="61:72" customFormat="1">
      <c r="BI241" s="1052"/>
      <c r="BJ241" s="1052"/>
      <c r="BK241" s="1052"/>
      <c r="BL241" s="1052"/>
      <c r="BM241" s="1052"/>
      <c r="BN241" s="1052"/>
      <c r="BO241" s="1052"/>
      <c r="BP241" s="1052"/>
      <c r="BQ241" s="1052"/>
      <c r="BR241" s="1052"/>
      <c r="BS241" s="1052"/>
      <c r="BT241" s="1052"/>
    </row>
    <row r="242" spans="61:72" customFormat="1">
      <c r="BI242" s="1052"/>
      <c r="BJ242" s="1052"/>
      <c r="BK242" s="1052"/>
      <c r="BL242" s="1052"/>
      <c r="BM242" s="1052"/>
      <c r="BN242" s="1052"/>
      <c r="BO242" s="1052"/>
      <c r="BP242" s="1052"/>
      <c r="BQ242" s="1052"/>
      <c r="BR242" s="1052"/>
      <c r="BS242" s="1052"/>
      <c r="BT242" s="1052"/>
    </row>
    <row r="243" spans="61:72" customFormat="1">
      <c r="BI243" s="1052"/>
      <c r="BJ243" s="1052"/>
      <c r="BK243" s="1052"/>
      <c r="BL243" s="1052"/>
      <c r="BM243" s="1052"/>
      <c r="BN243" s="1052"/>
      <c r="BO243" s="1052"/>
      <c r="BP243" s="1052"/>
      <c r="BQ243" s="1052"/>
      <c r="BR243" s="1052"/>
      <c r="BS243" s="1052"/>
      <c r="BT243" s="1052"/>
    </row>
    <row r="244" spans="61:72" customFormat="1">
      <c r="BI244" s="1052"/>
      <c r="BJ244" s="1052"/>
      <c r="BK244" s="1052"/>
      <c r="BL244" s="1052"/>
      <c r="BM244" s="1052"/>
      <c r="BN244" s="1052"/>
      <c r="BO244" s="1052"/>
      <c r="BP244" s="1052"/>
      <c r="BQ244" s="1052"/>
      <c r="BR244" s="1052"/>
      <c r="BS244" s="1052"/>
      <c r="BT244" s="1052"/>
    </row>
    <row r="245" spans="61:72" customFormat="1">
      <c r="BI245" s="1052"/>
      <c r="BJ245" s="1052"/>
      <c r="BK245" s="1052"/>
      <c r="BL245" s="1052"/>
      <c r="BM245" s="1052"/>
      <c r="BN245" s="1052"/>
      <c r="BO245" s="1052"/>
      <c r="BP245" s="1052"/>
      <c r="BQ245" s="1052"/>
      <c r="BR245" s="1052"/>
      <c r="BS245" s="1052"/>
      <c r="BT245" s="1052"/>
    </row>
    <row r="246" spans="61:72" customFormat="1">
      <c r="BI246" s="1052"/>
      <c r="BJ246" s="1052"/>
      <c r="BK246" s="1052"/>
      <c r="BL246" s="1052"/>
      <c r="BM246" s="1052"/>
      <c r="BN246" s="1052"/>
      <c r="BO246" s="1052"/>
      <c r="BP246" s="1052"/>
      <c r="BQ246" s="1052"/>
      <c r="BR246" s="1052"/>
      <c r="BS246" s="1052"/>
      <c r="BT246" s="1052"/>
    </row>
    <row r="247" spans="61:72" customFormat="1">
      <c r="BI247" s="1052"/>
      <c r="BJ247" s="1052"/>
      <c r="BK247" s="1052"/>
      <c r="BL247" s="1052"/>
      <c r="BM247" s="1052"/>
      <c r="BN247" s="1052"/>
      <c r="BO247" s="1052"/>
      <c r="BP247" s="1052"/>
      <c r="BQ247" s="1052"/>
      <c r="BR247" s="1052"/>
      <c r="BS247" s="1052"/>
      <c r="BT247" s="1052"/>
    </row>
    <row r="248" spans="61:72" customFormat="1">
      <c r="BI248" s="1052"/>
      <c r="BJ248" s="1052"/>
      <c r="BK248" s="1052"/>
      <c r="BL248" s="1052"/>
      <c r="BM248" s="1052"/>
      <c r="BN248" s="1052"/>
      <c r="BO248" s="1052"/>
      <c r="BP248" s="1052"/>
      <c r="BQ248" s="1052"/>
      <c r="BR248" s="1052"/>
      <c r="BS248" s="1052"/>
      <c r="BT248" s="1052"/>
    </row>
    <row r="249" spans="61:72" customFormat="1">
      <c r="BI249" s="1052"/>
      <c r="BJ249" s="1052"/>
      <c r="BK249" s="1052"/>
      <c r="BL249" s="1052"/>
      <c r="BM249" s="1052"/>
      <c r="BN249" s="1052"/>
      <c r="BO249" s="1052"/>
      <c r="BP249" s="1052"/>
      <c r="BQ249" s="1052"/>
      <c r="BR249" s="1052"/>
      <c r="BS249" s="1052"/>
      <c r="BT249" s="1052"/>
    </row>
    <row r="250" spans="61:72" customFormat="1">
      <c r="BI250" s="1052"/>
      <c r="BJ250" s="1052"/>
      <c r="BK250" s="1052"/>
      <c r="BL250" s="1052"/>
      <c r="BM250" s="1052"/>
      <c r="BN250" s="1052"/>
      <c r="BO250" s="1052"/>
      <c r="BP250" s="1052"/>
      <c r="BQ250" s="1052"/>
      <c r="BR250" s="1052"/>
      <c r="BS250" s="1052"/>
      <c r="BT250" s="1052"/>
    </row>
    <row r="251" spans="61:72" customFormat="1">
      <c r="BI251" s="1052"/>
      <c r="BJ251" s="1052"/>
      <c r="BK251" s="1052"/>
      <c r="BL251" s="1052"/>
      <c r="BM251" s="1052"/>
      <c r="BN251" s="1052"/>
      <c r="BO251" s="1052"/>
      <c r="BP251" s="1052"/>
      <c r="BQ251" s="1052"/>
      <c r="BR251" s="1052"/>
      <c r="BS251" s="1052"/>
      <c r="BT251" s="1052"/>
    </row>
    <row r="252" spans="61:72" customFormat="1">
      <c r="BI252" s="1052"/>
      <c r="BJ252" s="1052"/>
      <c r="BK252" s="1052"/>
      <c r="BL252" s="1052"/>
      <c r="BM252" s="1052"/>
      <c r="BN252" s="1052"/>
      <c r="BO252" s="1052"/>
      <c r="BP252" s="1052"/>
      <c r="BQ252" s="1052"/>
      <c r="BR252" s="1052"/>
      <c r="BS252" s="1052"/>
      <c r="BT252" s="1052"/>
    </row>
    <row r="253" spans="61:72" customFormat="1">
      <c r="BI253" s="1052"/>
      <c r="BJ253" s="1052"/>
      <c r="BK253" s="1052"/>
      <c r="BL253" s="1052"/>
      <c r="BM253" s="1052"/>
      <c r="BN253" s="1052"/>
      <c r="BO253" s="1052"/>
      <c r="BP253" s="1052"/>
      <c r="BQ253" s="1052"/>
      <c r="BR253" s="1052"/>
      <c r="BS253" s="1052"/>
      <c r="BT253" s="1052"/>
    </row>
    <row r="254" spans="61:72" customFormat="1">
      <c r="BI254" s="1052"/>
      <c r="BJ254" s="1052"/>
      <c r="BK254" s="1052"/>
      <c r="BL254" s="1052"/>
      <c r="BM254" s="1052"/>
      <c r="BN254" s="1052"/>
      <c r="BO254" s="1052"/>
      <c r="BP254" s="1052"/>
      <c r="BQ254" s="1052"/>
      <c r="BR254" s="1052"/>
      <c r="BS254" s="1052"/>
      <c r="BT254" s="1052"/>
    </row>
    <row r="255" spans="61:72" customFormat="1">
      <c r="BI255" s="1052"/>
      <c r="BJ255" s="1052"/>
      <c r="BK255" s="1052"/>
      <c r="BL255" s="1052"/>
      <c r="BM255" s="1052"/>
      <c r="BN255" s="1052"/>
      <c r="BO255" s="1052"/>
      <c r="BP255" s="1052"/>
      <c r="BQ255" s="1052"/>
      <c r="BR255" s="1052"/>
      <c r="BS255" s="1052"/>
      <c r="BT255" s="1052"/>
    </row>
    <row r="256" spans="61:72" customFormat="1">
      <c r="BI256" s="1052"/>
      <c r="BJ256" s="1052"/>
      <c r="BK256" s="1052"/>
      <c r="BL256" s="1052"/>
      <c r="BM256" s="1052"/>
      <c r="BN256" s="1052"/>
      <c r="BO256" s="1052"/>
      <c r="BP256" s="1052"/>
      <c r="BQ256" s="1052"/>
      <c r="BR256" s="1052"/>
      <c r="BS256" s="1052"/>
      <c r="BT256" s="1052"/>
    </row>
    <row r="257" spans="61:72" customFormat="1">
      <c r="BI257" s="1052"/>
      <c r="BJ257" s="1052"/>
      <c r="BK257" s="1052"/>
      <c r="BL257" s="1052"/>
      <c r="BM257" s="1052"/>
      <c r="BN257" s="1052"/>
      <c r="BO257" s="1052"/>
      <c r="BP257" s="1052"/>
      <c r="BQ257" s="1052"/>
      <c r="BR257" s="1052"/>
      <c r="BS257" s="1052"/>
      <c r="BT257" s="1052"/>
    </row>
    <row r="258" spans="61:72" customFormat="1">
      <c r="BI258" s="1052"/>
      <c r="BJ258" s="1052"/>
      <c r="BK258" s="1052"/>
      <c r="BL258" s="1052"/>
      <c r="BM258" s="1052"/>
      <c r="BN258" s="1052"/>
      <c r="BO258" s="1052"/>
      <c r="BP258" s="1052"/>
      <c r="BQ258" s="1052"/>
      <c r="BR258" s="1052"/>
      <c r="BS258" s="1052"/>
      <c r="BT258" s="1052"/>
    </row>
    <row r="259" spans="61:72" customFormat="1">
      <c r="BI259" s="1052"/>
      <c r="BJ259" s="1052"/>
      <c r="BK259" s="1052"/>
      <c r="BL259" s="1052"/>
      <c r="BM259" s="1052"/>
      <c r="BN259" s="1052"/>
      <c r="BO259" s="1052"/>
      <c r="BP259" s="1052"/>
      <c r="BQ259" s="1052"/>
      <c r="BR259" s="1052"/>
      <c r="BS259" s="1052"/>
      <c r="BT259" s="1052"/>
    </row>
    <row r="260" spans="61:72" customFormat="1">
      <c r="BI260" s="1052"/>
      <c r="BJ260" s="1052"/>
      <c r="BK260" s="1052"/>
      <c r="BL260" s="1052"/>
      <c r="BM260" s="1052"/>
      <c r="BN260" s="1052"/>
      <c r="BO260" s="1052"/>
      <c r="BP260" s="1052"/>
      <c r="BQ260" s="1052"/>
      <c r="BR260" s="1052"/>
      <c r="BS260" s="1052"/>
      <c r="BT260" s="1052"/>
    </row>
    <row r="261" spans="61:72" customFormat="1">
      <c r="BI261" s="1052"/>
      <c r="BJ261" s="1052"/>
      <c r="BK261" s="1052"/>
      <c r="BL261" s="1052"/>
      <c r="BM261" s="1052"/>
      <c r="BN261" s="1052"/>
      <c r="BO261" s="1052"/>
      <c r="BP261" s="1052"/>
      <c r="BQ261" s="1052"/>
      <c r="BR261" s="1052"/>
      <c r="BS261" s="1052"/>
      <c r="BT261" s="1052"/>
    </row>
    <row r="262" spans="61:72" customFormat="1">
      <c r="BI262" s="1052"/>
      <c r="BJ262" s="1052"/>
      <c r="BK262" s="1052"/>
      <c r="BL262" s="1052"/>
      <c r="BM262" s="1052"/>
      <c r="BN262" s="1052"/>
      <c r="BO262" s="1052"/>
      <c r="BP262" s="1052"/>
      <c r="BQ262" s="1052"/>
      <c r="BR262" s="1052"/>
      <c r="BS262" s="1052"/>
      <c r="BT262" s="1052"/>
    </row>
    <row r="263" spans="61:72" customFormat="1">
      <c r="BI263" s="1052"/>
      <c r="BJ263" s="1052"/>
      <c r="BK263" s="1052"/>
      <c r="BL263" s="1052"/>
      <c r="BM263" s="1052"/>
      <c r="BN263" s="1052"/>
      <c r="BO263" s="1052"/>
      <c r="BP263" s="1052"/>
      <c r="BQ263" s="1052"/>
      <c r="BR263" s="1052"/>
      <c r="BS263" s="1052"/>
      <c r="BT263" s="1052"/>
    </row>
    <row r="264" spans="61:72" customFormat="1">
      <c r="BI264" s="1052"/>
      <c r="BJ264" s="1052"/>
      <c r="BK264" s="1052"/>
      <c r="BL264" s="1052"/>
      <c r="BM264" s="1052"/>
      <c r="BN264" s="1052"/>
      <c r="BO264" s="1052"/>
      <c r="BP264" s="1052"/>
      <c r="BQ264" s="1052"/>
      <c r="BR264" s="1052"/>
      <c r="BS264" s="1052"/>
      <c r="BT264" s="1052"/>
    </row>
    <row r="265" spans="61:72" customFormat="1">
      <c r="BI265" s="1052"/>
      <c r="BJ265" s="1052"/>
      <c r="BK265" s="1052"/>
      <c r="BL265" s="1052"/>
      <c r="BM265" s="1052"/>
      <c r="BN265" s="1052"/>
      <c r="BO265" s="1052"/>
      <c r="BP265" s="1052"/>
      <c r="BQ265" s="1052"/>
      <c r="BR265" s="1052"/>
      <c r="BS265" s="1052"/>
      <c r="BT265" s="1052"/>
    </row>
    <row r="266" spans="61:72" customFormat="1">
      <c r="BI266" s="1052"/>
      <c r="BJ266" s="1052"/>
      <c r="BK266" s="1052"/>
      <c r="BL266" s="1052"/>
      <c r="BM266" s="1052"/>
      <c r="BN266" s="1052"/>
      <c r="BO266" s="1052"/>
      <c r="BP266" s="1052"/>
      <c r="BQ266" s="1052"/>
      <c r="BR266" s="1052"/>
      <c r="BS266" s="1052"/>
      <c r="BT266" s="1052"/>
    </row>
    <row r="267" spans="61:72" customFormat="1">
      <c r="BI267" s="1052"/>
      <c r="BJ267" s="1052"/>
      <c r="BK267" s="1052"/>
      <c r="BL267" s="1052"/>
      <c r="BM267" s="1052"/>
      <c r="BN267" s="1052"/>
      <c r="BO267" s="1052"/>
      <c r="BP267" s="1052"/>
      <c r="BQ267" s="1052"/>
      <c r="BR267" s="1052"/>
      <c r="BS267" s="1052"/>
      <c r="BT267" s="1052"/>
    </row>
    <row r="268" spans="61:72" customFormat="1">
      <c r="BI268" s="1052"/>
      <c r="BJ268" s="1052"/>
      <c r="BK268" s="1052"/>
      <c r="BL268" s="1052"/>
      <c r="BM268" s="1052"/>
      <c r="BN268" s="1052"/>
      <c r="BO268" s="1052"/>
      <c r="BP268" s="1052"/>
      <c r="BQ268" s="1052"/>
      <c r="BR268" s="1052"/>
      <c r="BS268" s="1052"/>
      <c r="BT268" s="1052"/>
    </row>
    <row r="269" spans="61:72" customFormat="1">
      <c r="BI269" s="1052"/>
      <c r="BJ269" s="1052"/>
      <c r="BK269" s="1052"/>
      <c r="BL269" s="1052"/>
      <c r="BM269" s="1052"/>
      <c r="BN269" s="1052"/>
      <c r="BO269" s="1052"/>
      <c r="BP269" s="1052"/>
      <c r="BQ269" s="1052"/>
      <c r="BR269" s="1052"/>
      <c r="BS269" s="1052"/>
      <c r="BT269" s="1052"/>
    </row>
    <row r="270" spans="61:72" customFormat="1">
      <c r="BI270" s="1052"/>
      <c r="BJ270" s="1052"/>
      <c r="BK270" s="1052"/>
      <c r="BL270" s="1052"/>
      <c r="BM270" s="1052"/>
      <c r="BN270" s="1052"/>
      <c r="BO270" s="1052"/>
      <c r="BP270" s="1052"/>
      <c r="BQ270" s="1052"/>
      <c r="BR270" s="1052"/>
      <c r="BS270" s="1052"/>
      <c r="BT270" s="1052"/>
    </row>
    <row r="271" spans="61:72" customFormat="1">
      <c r="BI271" s="1052"/>
      <c r="BJ271" s="1052"/>
      <c r="BK271" s="1052"/>
      <c r="BL271" s="1052"/>
      <c r="BM271" s="1052"/>
      <c r="BN271" s="1052"/>
      <c r="BO271" s="1052"/>
      <c r="BP271" s="1052"/>
      <c r="BQ271" s="1052"/>
      <c r="BR271" s="1052"/>
      <c r="BS271" s="1052"/>
      <c r="BT271" s="1052"/>
    </row>
    <row r="272" spans="61:72" customFormat="1">
      <c r="BI272" s="1052"/>
      <c r="BJ272" s="1052"/>
      <c r="BK272" s="1052"/>
      <c r="BL272" s="1052"/>
      <c r="BM272" s="1052"/>
      <c r="BN272" s="1052"/>
      <c r="BO272" s="1052"/>
      <c r="BP272" s="1052"/>
      <c r="BQ272" s="1052"/>
      <c r="BR272" s="1052"/>
      <c r="BS272" s="1052"/>
      <c r="BT272" s="1052"/>
    </row>
    <row r="273" spans="61:72" customFormat="1">
      <c r="BI273" s="1052"/>
      <c r="BJ273" s="1052"/>
      <c r="BK273" s="1052"/>
      <c r="BL273" s="1052"/>
      <c r="BM273" s="1052"/>
      <c r="BN273" s="1052"/>
      <c r="BO273" s="1052"/>
      <c r="BP273" s="1052"/>
      <c r="BQ273" s="1052"/>
      <c r="BR273" s="1052"/>
      <c r="BS273" s="1052"/>
      <c r="BT273" s="1052"/>
    </row>
    <row r="274" spans="61:72" customFormat="1">
      <c r="BI274" s="1052"/>
      <c r="BJ274" s="1052"/>
      <c r="BK274" s="1052"/>
      <c r="BL274" s="1052"/>
      <c r="BM274" s="1052"/>
      <c r="BN274" s="1052"/>
      <c r="BO274" s="1052"/>
      <c r="BP274" s="1052"/>
      <c r="BQ274" s="1052"/>
      <c r="BR274" s="1052"/>
      <c r="BS274" s="1052"/>
      <c r="BT274" s="1052"/>
    </row>
    <row r="275" spans="61:72" customFormat="1">
      <c r="BI275" s="1052"/>
      <c r="BJ275" s="1052"/>
      <c r="BK275" s="1052"/>
      <c r="BL275" s="1052"/>
      <c r="BM275" s="1052"/>
      <c r="BN275" s="1052"/>
      <c r="BO275" s="1052"/>
      <c r="BP275" s="1052"/>
      <c r="BQ275" s="1052"/>
      <c r="BR275" s="1052"/>
      <c r="BS275" s="1052"/>
      <c r="BT275" s="1052"/>
    </row>
    <row r="276" spans="61:72" customFormat="1">
      <c r="BI276" s="1052"/>
      <c r="BJ276" s="1052"/>
      <c r="BK276" s="1052"/>
      <c r="BL276" s="1052"/>
      <c r="BM276" s="1052"/>
      <c r="BN276" s="1052"/>
      <c r="BO276" s="1052"/>
      <c r="BP276" s="1052"/>
      <c r="BQ276" s="1052"/>
      <c r="BR276" s="1052"/>
      <c r="BS276" s="1052"/>
      <c r="BT276" s="1052"/>
    </row>
    <row r="277" spans="61:72" customFormat="1">
      <c r="BI277" s="1052"/>
      <c r="BJ277" s="1052"/>
      <c r="BK277" s="1052"/>
      <c r="BL277" s="1052"/>
      <c r="BM277" s="1052"/>
      <c r="BN277" s="1052"/>
      <c r="BO277" s="1052"/>
      <c r="BP277" s="1052"/>
      <c r="BQ277" s="1052"/>
      <c r="BR277" s="1052"/>
      <c r="BS277" s="1052"/>
      <c r="BT277" s="1052"/>
    </row>
    <row r="278" spans="61:72" customFormat="1">
      <c r="BI278" s="1052"/>
      <c r="BJ278" s="1052"/>
      <c r="BK278" s="1052"/>
      <c r="BL278" s="1052"/>
      <c r="BM278" s="1052"/>
      <c r="BN278" s="1052"/>
      <c r="BO278" s="1052"/>
      <c r="BP278" s="1052"/>
      <c r="BQ278" s="1052"/>
      <c r="BR278" s="1052"/>
      <c r="BS278" s="1052"/>
      <c r="BT278" s="1052"/>
    </row>
    <row r="279" spans="61:72" customFormat="1">
      <c r="BI279" s="1052"/>
      <c r="BJ279" s="1052"/>
      <c r="BK279" s="1052"/>
      <c r="BL279" s="1052"/>
      <c r="BM279" s="1052"/>
      <c r="BN279" s="1052"/>
      <c r="BO279" s="1052"/>
      <c r="BP279" s="1052"/>
      <c r="BQ279" s="1052"/>
      <c r="BR279" s="1052"/>
      <c r="BS279" s="1052"/>
      <c r="BT279" s="1052"/>
    </row>
    <row r="280" spans="61:72" customFormat="1">
      <c r="BI280" s="1052"/>
      <c r="BJ280" s="1052"/>
      <c r="BK280" s="1052"/>
      <c r="BL280" s="1052"/>
      <c r="BM280" s="1052"/>
      <c r="BN280" s="1052"/>
      <c r="BO280" s="1052"/>
      <c r="BP280" s="1052"/>
      <c r="BQ280" s="1052"/>
      <c r="BR280" s="1052"/>
      <c r="BS280" s="1052"/>
      <c r="BT280" s="1052"/>
    </row>
    <row r="281" spans="61:72" customFormat="1">
      <c r="BI281" s="1052"/>
      <c r="BJ281" s="1052"/>
      <c r="BK281" s="1052"/>
      <c r="BL281" s="1052"/>
      <c r="BM281" s="1052"/>
      <c r="BN281" s="1052"/>
      <c r="BO281" s="1052"/>
      <c r="BP281" s="1052"/>
      <c r="BQ281" s="1052"/>
      <c r="BR281" s="1052"/>
      <c r="BS281" s="1052"/>
      <c r="BT281" s="1052"/>
    </row>
    <row r="282" spans="61:72" customFormat="1">
      <c r="BI282" s="1052"/>
      <c r="BJ282" s="1052"/>
      <c r="BK282" s="1052"/>
      <c r="BL282" s="1052"/>
      <c r="BM282" s="1052"/>
      <c r="BN282" s="1052"/>
      <c r="BO282" s="1052"/>
      <c r="BP282" s="1052"/>
      <c r="BQ282" s="1052"/>
      <c r="BR282" s="1052"/>
      <c r="BS282" s="1052"/>
      <c r="BT282" s="1052"/>
    </row>
    <row r="283" spans="61:72" customFormat="1">
      <c r="BI283" s="1052"/>
      <c r="BJ283" s="1052"/>
      <c r="BK283" s="1052"/>
      <c r="BL283" s="1052"/>
      <c r="BM283" s="1052"/>
      <c r="BN283" s="1052"/>
      <c r="BO283" s="1052"/>
      <c r="BP283" s="1052"/>
      <c r="BQ283" s="1052"/>
      <c r="BR283" s="1052"/>
      <c r="BS283" s="1052"/>
      <c r="BT283" s="1052"/>
    </row>
    <row r="284" spans="61:72" customFormat="1">
      <c r="BI284" s="1052"/>
      <c r="BJ284" s="1052"/>
      <c r="BK284" s="1052"/>
      <c r="BL284" s="1052"/>
      <c r="BM284" s="1052"/>
      <c r="BN284" s="1052"/>
      <c r="BO284" s="1052"/>
      <c r="BP284" s="1052"/>
      <c r="BQ284" s="1052"/>
      <c r="BR284" s="1052"/>
      <c r="BS284" s="1052"/>
      <c r="BT284" s="1052"/>
    </row>
    <row r="285" spans="61:72" customFormat="1">
      <c r="BI285" s="1052"/>
      <c r="BJ285" s="1052"/>
      <c r="BK285" s="1052"/>
      <c r="BL285" s="1052"/>
      <c r="BM285" s="1052"/>
      <c r="BN285" s="1052"/>
      <c r="BO285" s="1052"/>
      <c r="BP285" s="1052"/>
      <c r="BQ285" s="1052"/>
      <c r="BR285" s="1052"/>
      <c r="BS285" s="1052"/>
      <c r="BT285" s="1052"/>
    </row>
    <row r="286" spans="61:72" customFormat="1">
      <c r="BI286" s="1052"/>
      <c r="BJ286" s="1052"/>
      <c r="BK286" s="1052"/>
      <c r="BL286" s="1052"/>
      <c r="BM286" s="1052"/>
      <c r="BN286" s="1052"/>
      <c r="BO286" s="1052"/>
      <c r="BP286" s="1052"/>
      <c r="BQ286" s="1052"/>
      <c r="BR286" s="1052"/>
      <c r="BS286" s="1052"/>
      <c r="BT286" s="1052"/>
    </row>
    <row r="287" spans="61:72" customFormat="1">
      <c r="BI287" s="1052"/>
      <c r="BJ287" s="1052"/>
      <c r="BK287" s="1052"/>
      <c r="BL287" s="1052"/>
      <c r="BM287" s="1052"/>
      <c r="BN287" s="1052"/>
      <c r="BO287" s="1052"/>
      <c r="BP287" s="1052"/>
      <c r="BQ287" s="1052"/>
      <c r="BR287" s="1052"/>
      <c r="BS287" s="1052"/>
      <c r="BT287" s="1052"/>
    </row>
    <row r="288" spans="61:72" customFormat="1">
      <c r="BI288" s="1052"/>
      <c r="BJ288" s="1052"/>
      <c r="BK288" s="1052"/>
      <c r="BL288" s="1052"/>
      <c r="BM288" s="1052"/>
      <c r="BN288" s="1052"/>
      <c r="BO288" s="1052"/>
      <c r="BP288" s="1052"/>
      <c r="BQ288" s="1052"/>
      <c r="BR288" s="1052"/>
      <c r="BS288" s="1052"/>
      <c r="BT288" s="1052"/>
    </row>
    <row r="289" spans="61:72" customFormat="1">
      <c r="BI289" s="1052"/>
      <c r="BJ289" s="1052"/>
      <c r="BK289" s="1052"/>
      <c r="BL289" s="1052"/>
      <c r="BM289" s="1052"/>
      <c r="BN289" s="1052"/>
      <c r="BO289" s="1052"/>
      <c r="BP289" s="1052"/>
      <c r="BQ289" s="1052"/>
      <c r="BR289" s="1052"/>
      <c r="BS289" s="1052"/>
      <c r="BT289" s="1052"/>
    </row>
    <row r="290" spans="61:72" customFormat="1">
      <c r="BI290" s="1052"/>
      <c r="BJ290" s="1052"/>
      <c r="BK290" s="1052"/>
      <c r="BL290" s="1052"/>
      <c r="BM290" s="1052"/>
      <c r="BN290" s="1052"/>
      <c r="BO290" s="1052"/>
      <c r="BP290" s="1052"/>
      <c r="BQ290" s="1052"/>
      <c r="BR290" s="1052"/>
      <c r="BS290" s="1052"/>
      <c r="BT290" s="1052"/>
    </row>
    <row r="291" spans="61:72" customFormat="1">
      <c r="BI291" s="1052"/>
      <c r="BJ291" s="1052"/>
      <c r="BK291" s="1052"/>
      <c r="BL291" s="1052"/>
      <c r="BM291" s="1052"/>
      <c r="BN291" s="1052"/>
      <c r="BO291" s="1052"/>
      <c r="BP291" s="1052"/>
      <c r="BQ291" s="1052"/>
      <c r="BR291" s="1052"/>
      <c r="BS291" s="1052"/>
      <c r="BT291" s="1052"/>
    </row>
    <row r="292" spans="61:72" customFormat="1">
      <c r="BI292" s="1052"/>
      <c r="BJ292" s="1052"/>
      <c r="BK292" s="1052"/>
      <c r="BL292" s="1052"/>
      <c r="BM292" s="1052"/>
      <c r="BN292" s="1052"/>
      <c r="BO292" s="1052"/>
      <c r="BP292" s="1052"/>
      <c r="BQ292" s="1052"/>
      <c r="BR292" s="1052"/>
      <c r="BS292" s="1052"/>
      <c r="BT292" s="1052"/>
    </row>
    <row r="293" spans="61:72" customFormat="1">
      <c r="BI293" s="1052"/>
      <c r="BJ293" s="1052"/>
      <c r="BK293" s="1052"/>
      <c r="BL293" s="1052"/>
      <c r="BM293" s="1052"/>
      <c r="BN293" s="1052"/>
      <c r="BO293" s="1052"/>
      <c r="BP293" s="1052"/>
      <c r="BQ293" s="1052"/>
      <c r="BR293" s="1052"/>
      <c r="BS293" s="1052"/>
      <c r="BT293" s="1052"/>
    </row>
    <row r="294" spans="61:72" customFormat="1">
      <c r="BI294" s="1052"/>
      <c r="BJ294" s="1052"/>
      <c r="BK294" s="1052"/>
      <c r="BL294" s="1052"/>
      <c r="BM294" s="1052"/>
      <c r="BN294" s="1052"/>
      <c r="BO294" s="1052"/>
      <c r="BP294" s="1052"/>
      <c r="BQ294" s="1052"/>
      <c r="BR294" s="1052"/>
      <c r="BS294" s="1052"/>
      <c r="BT294" s="1052"/>
    </row>
    <row r="295" spans="61:72" customFormat="1">
      <c r="BI295" s="1052"/>
      <c r="BJ295" s="1052"/>
      <c r="BK295" s="1052"/>
      <c r="BL295" s="1052"/>
      <c r="BM295" s="1052"/>
      <c r="BN295" s="1052"/>
      <c r="BO295" s="1052"/>
      <c r="BP295" s="1052"/>
      <c r="BQ295" s="1052"/>
      <c r="BR295" s="1052"/>
      <c r="BS295" s="1052"/>
      <c r="BT295" s="1052"/>
    </row>
    <row r="296" spans="61:72" customFormat="1">
      <c r="BI296" s="1052"/>
      <c r="BJ296" s="1052"/>
      <c r="BK296" s="1052"/>
      <c r="BL296" s="1052"/>
      <c r="BM296" s="1052"/>
      <c r="BN296" s="1052"/>
      <c r="BO296" s="1052"/>
      <c r="BP296" s="1052"/>
      <c r="BQ296" s="1052"/>
      <c r="BR296" s="1052"/>
      <c r="BS296" s="1052"/>
      <c r="BT296" s="1052"/>
    </row>
    <row r="297" spans="61:72" customFormat="1">
      <c r="BI297" s="1052"/>
      <c r="BJ297" s="1052"/>
      <c r="BK297" s="1052"/>
      <c r="BL297" s="1052"/>
      <c r="BM297" s="1052"/>
      <c r="BN297" s="1052"/>
      <c r="BO297" s="1052"/>
      <c r="BP297" s="1052"/>
      <c r="BQ297" s="1052"/>
      <c r="BR297" s="1052"/>
      <c r="BS297" s="1052"/>
      <c r="BT297" s="1052"/>
    </row>
    <row r="298" spans="61:72" customFormat="1">
      <c r="BI298" s="1052"/>
      <c r="BJ298" s="1052"/>
      <c r="BK298" s="1052"/>
      <c r="BL298" s="1052"/>
      <c r="BM298" s="1052"/>
      <c r="BN298" s="1052"/>
      <c r="BO298" s="1052"/>
      <c r="BP298" s="1052"/>
      <c r="BQ298" s="1052"/>
      <c r="BR298" s="1052"/>
      <c r="BS298" s="1052"/>
      <c r="BT298" s="1052"/>
    </row>
    <row r="299" spans="61:72" customFormat="1">
      <c r="BI299" s="1052"/>
      <c r="BJ299" s="1052"/>
      <c r="BK299" s="1052"/>
      <c r="BL299" s="1052"/>
      <c r="BM299" s="1052"/>
      <c r="BN299" s="1052"/>
      <c r="BO299" s="1052"/>
      <c r="BP299" s="1052"/>
      <c r="BQ299" s="1052"/>
      <c r="BR299" s="1052"/>
      <c r="BS299" s="1052"/>
      <c r="BT299" s="1052"/>
    </row>
    <row r="300" spans="61:72" customFormat="1">
      <c r="BI300" s="1052"/>
      <c r="BJ300" s="1052"/>
      <c r="BK300" s="1052"/>
      <c r="BL300" s="1052"/>
      <c r="BM300" s="1052"/>
      <c r="BN300" s="1052"/>
      <c r="BO300" s="1052"/>
      <c r="BP300" s="1052"/>
      <c r="BQ300" s="1052"/>
      <c r="BR300" s="1052"/>
      <c r="BS300" s="1052"/>
      <c r="BT300" s="1052"/>
    </row>
    <row r="301" spans="61:72" customFormat="1">
      <c r="BI301" s="1052"/>
      <c r="BJ301" s="1052"/>
      <c r="BK301" s="1052"/>
      <c r="BL301" s="1052"/>
      <c r="BM301" s="1052"/>
      <c r="BN301" s="1052"/>
      <c r="BO301" s="1052"/>
      <c r="BP301" s="1052"/>
      <c r="BQ301" s="1052"/>
      <c r="BR301" s="1052"/>
      <c r="BS301" s="1052"/>
      <c r="BT301" s="1052"/>
    </row>
    <row r="302" spans="61:72" customFormat="1">
      <c r="BI302" s="1052"/>
      <c r="BJ302" s="1052"/>
      <c r="BK302" s="1052"/>
      <c r="BL302" s="1052"/>
      <c r="BM302" s="1052"/>
      <c r="BN302" s="1052"/>
      <c r="BO302" s="1052"/>
      <c r="BP302" s="1052"/>
      <c r="BQ302" s="1052"/>
      <c r="BR302" s="1052"/>
      <c r="BS302" s="1052"/>
      <c r="BT302" s="1052"/>
    </row>
    <row r="303" spans="61:72" customFormat="1">
      <c r="BI303" s="1052"/>
      <c r="BJ303" s="1052"/>
      <c r="BK303" s="1052"/>
      <c r="BL303" s="1052"/>
      <c r="BM303" s="1052"/>
      <c r="BN303" s="1052"/>
      <c r="BO303" s="1052"/>
      <c r="BP303" s="1052"/>
      <c r="BQ303" s="1052"/>
      <c r="BR303" s="1052"/>
      <c r="BS303" s="1052"/>
      <c r="BT303" s="1052"/>
    </row>
    <row r="304" spans="61:72" customFormat="1">
      <c r="BI304" s="1052"/>
      <c r="BJ304" s="1052"/>
      <c r="BK304" s="1052"/>
      <c r="BL304" s="1052"/>
      <c r="BM304" s="1052"/>
      <c r="BN304" s="1052"/>
      <c r="BO304" s="1052"/>
      <c r="BP304" s="1052"/>
      <c r="BQ304" s="1052"/>
      <c r="BR304" s="1052"/>
      <c r="BS304" s="1052"/>
      <c r="BT304" s="1052"/>
    </row>
    <row r="310" spans="3:12">
      <c r="C310" s="103"/>
      <c r="D310" s="104"/>
      <c r="E310" s="103"/>
      <c r="F310" s="103"/>
      <c r="G310" s="103"/>
      <c r="H310" s="105"/>
      <c r="I310" s="103"/>
      <c r="J310" s="103"/>
      <c r="K310" s="103"/>
      <c r="L310" s="105"/>
    </row>
    <row r="311" spans="3:12">
      <c r="C311" s="103"/>
      <c r="D311" s="104"/>
      <c r="E311" s="103"/>
      <c r="F311" s="103"/>
      <c r="G311" s="103"/>
      <c r="H311" s="105"/>
      <c r="I311" s="103"/>
      <c r="J311" s="103"/>
      <c r="K311" s="103"/>
      <c r="L311" s="105"/>
    </row>
    <row r="312" spans="3:12">
      <c r="C312" s="103"/>
      <c r="D312" s="104"/>
      <c r="E312" s="103"/>
      <c r="F312" s="103"/>
      <c r="G312" s="103"/>
      <c r="H312" s="105"/>
      <c r="I312" s="103"/>
      <c r="J312" s="103"/>
      <c r="K312" s="103"/>
      <c r="L312" s="105"/>
    </row>
    <row r="313" spans="3:12">
      <c r="C313" s="103"/>
      <c r="D313" s="104"/>
      <c r="E313" s="103"/>
      <c r="F313" s="103"/>
      <c r="G313" s="103"/>
      <c r="H313" s="105"/>
      <c r="I313" s="103"/>
      <c r="J313" s="103"/>
      <c r="K313" s="103"/>
      <c r="L313" s="105"/>
    </row>
    <row r="314" spans="3:12">
      <c r="C314" s="103"/>
      <c r="D314" s="104"/>
      <c r="E314" s="103"/>
      <c r="F314" s="103"/>
      <c r="G314" s="103"/>
      <c r="H314" s="105"/>
      <c r="I314" s="103"/>
      <c r="J314" s="103"/>
      <c r="K314" s="103"/>
      <c r="L314" s="105"/>
    </row>
    <row r="315" spans="3:12">
      <c r="C315" s="103"/>
      <c r="D315" s="104"/>
      <c r="E315" s="103"/>
      <c r="F315" s="103"/>
      <c r="G315" s="103"/>
      <c r="H315" s="105"/>
      <c r="I315" s="103"/>
      <c r="J315" s="103"/>
      <c r="K315" s="103"/>
      <c r="L315" s="105"/>
    </row>
    <row r="316" spans="3:12">
      <c r="C316" s="103"/>
      <c r="D316" s="104"/>
      <c r="E316" s="103"/>
      <c r="F316" s="103"/>
      <c r="G316" s="103"/>
      <c r="H316" s="105"/>
      <c r="I316" s="103"/>
      <c r="J316" s="103"/>
      <c r="K316" s="103"/>
      <c r="L316" s="105"/>
    </row>
    <row r="317" spans="3:12">
      <c r="C317" s="103"/>
      <c r="D317" s="104"/>
      <c r="E317" s="103"/>
      <c r="F317" s="103"/>
      <c r="G317" s="103"/>
      <c r="H317" s="105"/>
      <c r="I317" s="103"/>
      <c r="J317" s="103"/>
      <c r="K317" s="103"/>
      <c r="L317" s="105"/>
    </row>
    <row r="318" spans="3:12">
      <c r="C318" s="103"/>
      <c r="D318" s="104"/>
      <c r="E318" s="103"/>
      <c r="F318" s="103"/>
      <c r="G318" s="103"/>
      <c r="H318" s="105"/>
      <c r="I318" s="103"/>
      <c r="J318" s="103"/>
      <c r="K318" s="103"/>
      <c r="L318" s="105"/>
    </row>
  </sheetData>
  <customSheetViews>
    <customSheetView guid="{E6D9E970-926F-4F3B-8D36-41EB74ECFD6A}" fitToPage="1" topLeftCell="A16">
      <selection activeCell="C25" sqref="C25"/>
      <colBreaks count="4" manualBreakCount="4">
        <brk id="12" max="1048575" man="1"/>
        <brk id="28" max="1048575" man="1"/>
        <brk id="44" max="1048575" man="1"/>
        <brk id="60" max="1048575" man="1"/>
      </colBreaks>
      <pageMargins left="0.25" right="0.25" top="0.25" bottom="0.25" header="0.5" footer="0.5"/>
      <pageSetup scale="45" fitToWidth="4" orientation="landscape" r:id="rId1"/>
    </customSheetView>
  </customSheetViews>
  <mergeCells count="19">
    <mergeCell ref="C32:D32"/>
    <mergeCell ref="AK24:AN24"/>
    <mergeCell ref="AO24:AR24"/>
    <mergeCell ref="C33:D33"/>
    <mergeCell ref="U24:X24"/>
    <mergeCell ref="Y24:AB24"/>
    <mergeCell ref="AC24:AF24"/>
    <mergeCell ref="AG24:AJ24"/>
    <mergeCell ref="E24:H24"/>
    <mergeCell ref="I24:L24"/>
    <mergeCell ref="M24:P24"/>
    <mergeCell ref="Q24:T24"/>
    <mergeCell ref="BQ24:BT24"/>
    <mergeCell ref="BI24:BL24"/>
    <mergeCell ref="BM24:BP24"/>
    <mergeCell ref="AS24:AV24"/>
    <mergeCell ref="AW24:AZ24"/>
    <mergeCell ref="BA24:BD24"/>
    <mergeCell ref="BE24:BH24"/>
  </mergeCells>
  <pageMargins left="0.25" right="0.25" top="0.25" bottom="0.25" header="0.5" footer="0.5"/>
  <pageSetup scale="44" fitToWidth="4" orientation="landscape" r:id="rId2"/>
  <colBreaks count="3" manualBreakCount="3">
    <brk id="20" max="77" man="1"/>
    <brk id="40" max="77" man="1"/>
    <brk id="60" max="7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view="pageBreakPreview" zoomScale="60" zoomScaleNormal="100" workbookViewId="0">
      <selection sqref="A1:XFD1048576"/>
    </sheetView>
  </sheetViews>
  <sheetFormatPr defaultRowHeight="14.5"/>
  <cols>
    <col min="2" max="2" width="1.453125" customWidth="1"/>
    <col min="3" max="3" width="2.26953125" customWidth="1"/>
    <col min="4" max="4" width="43.453125" customWidth="1"/>
    <col min="5" max="5" width="19.7265625" customWidth="1"/>
    <col min="6" max="6" width="19.453125" customWidth="1"/>
    <col min="7" max="7" width="20.54296875" customWidth="1"/>
  </cols>
  <sheetData>
    <row r="1" spans="1:8" ht="18">
      <c r="A1" s="1874" t="s">
        <v>343</v>
      </c>
      <c r="B1" s="1874"/>
      <c r="C1" s="1874"/>
      <c r="D1" s="1874"/>
      <c r="E1" s="1874"/>
      <c r="F1" s="1874"/>
    </row>
    <row r="2" spans="1:8">
      <c r="A2" s="1"/>
    </row>
    <row r="3" spans="1:8" ht="15.5">
      <c r="A3" s="1876" t="s">
        <v>0</v>
      </c>
      <c r="B3" s="1990"/>
      <c r="C3" s="1990"/>
      <c r="D3" s="1990"/>
      <c r="E3" s="1990"/>
      <c r="F3" s="1990"/>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v>101</v>
      </c>
      <c r="B14" s="1">
        <v>0</v>
      </c>
      <c r="C14" s="1" t="s">
        <v>488</v>
      </c>
      <c r="D14" s="1"/>
      <c r="E14" s="7">
        <v>0</v>
      </c>
      <c r="F14" s="1"/>
    </row>
    <row r="17" spans="1:6">
      <c r="C17" t="s">
        <v>3</v>
      </c>
    </row>
    <row r="18" spans="1:6">
      <c r="A18" s="1">
        <v>112</v>
      </c>
      <c r="C18" s="1" t="s">
        <v>508</v>
      </c>
      <c r="D18" s="1"/>
      <c r="E18" s="7">
        <v>0</v>
      </c>
      <c r="F18" s="1"/>
    </row>
    <row r="21" spans="1:6">
      <c r="C21" s="5" t="s">
        <v>4</v>
      </c>
      <c r="D21" s="5"/>
      <c r="E21" s="5"/>
    </row>
    <row r="22" spans="1:6">
      <c r="D22" s="7"/>
      <c r="E22" s="7"/>
      <c r="F22" s="7"/>
    </row>
    <row r="23" spans="1:6">
      <c r="D23" s="7"/>
      <c r="E23" s="7"/>
      <c r="F23" s="7"/>
    </row>
    <row r="24" spans="1:6">
      <c r="D24" s="7"/>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5">
      <c r="C306" s="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5"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5"/>
  <sheetViews>
    <sheetView view="pageBreakPreview" zoomScale="70" zoomScaleNormal="91" zoomScaleSheetLayoutView="70" workbookViewId="0">
      <selection activeCell="A19" sqref="A1:XFD1048576"/>
    </sheetView>
  </sheetViews>
  <sheetFormatPr defaultColWidth="11.453125" defaultRowHeight="13"/>
  <cols>
    <col min="1" max="1" width="6.26953125" style="579" customWidth="1"/>
    <col min="2" max="2" width="58.1796875" style="580" customWidth="1"/>
    <col min="3" max="3" width="31" style="580" customWidth="1"/>
    <col min="4" max="4" width="24.7265625" style="580" customWidth="1"/>
    <col min="5" max="5" width="20.54296875" style="580" customWidth="1"/>
    <col min="6" max="6" width="22.26953125" style="580" customWidth="1"/>
    <col min="7" max="7" width="23.453125" style="580" customWidth="1"/>
    <col min="8" max="9" width="23.1796875" style="580" customWidth="1"/>
    <col min="10" max="10" width="27.54296875" style="580" customWidth="1"/>
    <col min="11" max="11" width="26.1796875" style="580" customWidth="1"/>
    <col min="12" max="12" width="21" style="580" customWidth="1"/>
    <col min="13" max="13" width="20.26953125" style="580" customWidth="1"/>
    <col min="14" max="16" width="15.1796875" style="580" customWidth="1"/>
    <col min="17" max="16384" width="11.453125" style="580"/>
  </cols>
  <sheetData>
    <row r="1" spans="1:17">
      <c r="D1" s="581"/>
      <c r="E1" s="581"/>
      <c r="G1" s="582" t="s">
        <v>666</v>
      </c>
      <c r="H1" s="581"/>
      <c r="I1" s="904"/>
      <c r="J1" s="581"/>
    </row>
    <row r="2" spans="1:17">
      <c r="A2" s="584"/>
      <c r="D2" s="581"/>
      <c r="E2" s="581"/>
      <c r="F2" s="581"/>
      <c r="G2" s="585" t="s">
        <v>609</v>
      </c>
      <c r="H2" s="581"/>
      <c r="I2" s="581"/>
      <c r="J2" s="581"/>
      <c r="K2" s="581"/>
      <c r="M2" s="586"/>
      <c r="P2" s="581"/>
    </row>
    <row r="3" spans="1:17">
      <c r="A3" s="584"/>
      <c r="D3" s="581"/>
      <c r="E3" s="581"/>
      <c r="F3" s="581"/>
      <c r="G3" s="587" t="s">
        <v>176</v>
      </c>
      <c r="H3" s="581"/>
      <c r="I3" s="581"/>
      <c r="J3" s="581"/>
      <c r="K3" s="581"/>
      <c r="P3" s="581"/>
    </row>
    <row r="4" spans="1:17">
      <c r="A4" s="584"/>
      <c r="D4" s="581"/>
      <c r="E4" s="581"/>
      <c r="F4" s="581"/>
      <c r="G4" s="581"/>
      <c r="H4" s="581"/>
      <c r="I4" s="581"/>
      <c r="J4" s="581"/>
      <c r="K4" s="581"/>
      <c r="P4" s="581"/>
    </row>
    <row r="5" spans="1:17">
      <c r="A5" s="584"/>
      <c r="B5" s="588"/>
      <c r="C5" s="588"/>
      <c r="D5" s="588"/>
      <c r="E5" s="588"/>
      <c r="F5" s="588"/>
      <c r="G5" s="588"/>
      <c r="H5" s="588"/>
      <c r="I5" s="588"/>
      <c r="J5" s="588"/>
      <c r="K5" s="588"/>
      <c r="P5" s="581"/>
    </row>
    <row r="6" spans="1:17" s="858" customFormat="1" ht="14.5">
      <c r="A6" s="857"/>
      <c r="B6" s="972" t="s">
        <v>755</v>
      </c>
      <c r="C6" s="1993" t="s">
        <v>1485</v>
      </c>
      <c r="D6" s="1994"/>
      <c r="E6" s="1995"/>
      <c r="F6" s="1996" t="s">
        <v>88</v>
      </c>
      <c r="G6" s="1997"/>
      <c r="H6" s="1997"/>
      <c r="I6" s="1996" t="s">
        <v>1486</v>
      </c>
      <c r="J6" s="2001"/>
      <c r="K6" s="1993" t="s">
        <v>1487</v>
      </c>
      <c r="L6" s="1997"/>
      <c r="M6" s="2002"/>
      <c r="P6" s="904"/>
      <c r="Q6" s="904"/>
    </row>
    <row r="7" spans="1:17" s="863" customFormat="1" ht="26">
      <c r="A7" s="860" t="s">
        <v>611</v>
      </c>
      <c r="B7" s="591" t="s">
        <v>211</v>
      </c>
      <c r="C7" s="591" t="s">
        <v>274</v>
      </c>
      <c r="D7" s="591" t="s">
        <v>189</v>
      </c>
      <c r="E7" s="862" t="s">
        <v>612</v>
      </c>
      <c r="F7" s="591" t="s">
        <v>274</v>
      </c>
      <c r="G7" s="591" t="s">
        <v>290</v>
      </c>
      <c r="H7" s="862" t="s">
        <v>612</v>
      </c>
      <c r="I7" s="591" t="s">
        <v>949</v>
      </c>
      <c r="J7" s="862" t="s">
        <v>612</v>
      </c>
      <c r="K7" s="591" t="s">
        <v>274</v>
      </c>
      <c r="L7" s="591" t="s">
        <v>189</v>
      </c>
      <c r="M7" s="862" t="s">
        <v>612</v>
      </c>
      <c r="Q7" s="858"/>
    </row>
    <row r="8" spans="1:17" s="864" customFormat="1">
      <c r="A8" s="857"/>
      <c r="B8" s="589" t="s">
        <v>617</v>
      </c>
      <c r="C8" s="589" t="s">
        <v>618</v>
      </c>
      <c r="D8" s="589" t="s">
        <v>619</v>
      </c>
      <c r="E8" s="591" t="s">
        <v>620</v>
      </c>
      <c r="F8" s="589" t="s">
        <v>621</v>
      </c>
      <c r="G8" s="591" t="s">
        <v>622</v>
      </c>
      <c r="H8" s="589" t="s">
        <v>623</v>
      </c>
      <c r="I8" s="591" t="s">
        <v>624</v>
      </c>
      <c r="J8" s="589" t="s">
        <v>625</v>
      </c>
      <c r="K8" s="591" t="s">
        <v>626</v>
      </c>
      <c r="L8" s="591" t="s">
        <v>627</v>
      </c>
      <c r="M8" s="591" t="s">
        <v>661</v>
      </c>
      <c r="Q8" s="858"/>
    </row>
    <row r="9" spans="1:17" s="864" customFormat="1">
      <c r="A9" s="857"/>
      <c r="B9" s="861" t="s">
        <v>680</v>
      </c>
      <c r="C9" s="585">
        <v>19</v>
      </c>
      <c r="D9" s="585">
        <v>23</v>
      </c>
      <c r="E9" s="597">
        <v>24</v>
      </c>
      <c r="F9" s="585">
        <v>30</v>
      </c>
      <c r="G9" s="585">
        <v>31</v>
      </c>
      <c r="H9" s="585">
        <v>12</v>
      </c>
      <c r="I9" s="585">
        <v>10</v>
      </c>
      <c r="J9" s="585">
        <v>11</v>
      </c>
      <c r="K9" s="585"/>
      <c r="L9" s="597"/>
      <c r="M9" s="585"/>
    </row>
    <row r="10" spans="1:17" s="595" customFormat="1" ht="77.25" customHeight="1">
      <c r="A10" s="584"/>
      <c r="B10" s="589"/>
      <c r="C10" s="599" t="s">
        <v>628</v>
      </c>
      <c r="D10" s="600" t="s">
        <v>629</v>
      </c>
      <c r="E10" s="601" t="s">
        <v>630</v>
      </c>
      <c r="F10" s="600" t="s">
        <v>631</v>
      </c>
      <c r="G10" s="600" t="s">
        <v>632</v>
      </c>
      <c r="H10" s="601" t="s">
        <v>630</v>
      </c>
      <c r="I10" s="887" t="s">
        <v>1123</v>
      </c>
      <c r="J10" s="601" t="s">
        <v>630</v>
      </c>
      <c r="K10" s="599" t="s">
        <v>1134</v>
      </c>
      <c r="L10" s="599" t="s">
        <v>1135</v>
      </c>
      <c r="M10" s="599" t="s">
        <v>1136</v>
      </c>
    </row>
    <row r="11" spans="1:17">
      <c r="A11" s="584">
        <v>1</v>
      </c>
      <c r="B11" s="602" t="s">
        <v>633</v>
      </c>
      <c r="C11" s="603">
        <f>+'9A - Gross Plant &amp; ARO'!L11</f>
        <v>1823195166</v>
      </c>
      <c r="D11" s="603">
        <f>+'9A - Gross Plant &amp; ARO'!M11</f>
        <v>592499475.84611261</v>
      </c>
      <c r="E11" s="603">
        <f>+'9A - Gross Plant &amp; ARO'!N11</f>
        <v>0</v>
      </c>
      <c r="F11" s="604">
        <f>+'9A - Gross Plant &amp; ARO'!D51</f>
        <v>586191745</v>
      </c>
      <c r="G11" s="604">
        <f>+'9A - Gross Plant &amp; ARO'!E51</f>
        <v>145412231.59</v>
      </c>
      <c r="H11" s="604">
        <f>+'9A - Gross Plant &amp; ARO'!G51</f>
        <v>0</v>
      </c>
      <c r="I11" s="604">
        <f>+'9A - Gross Plant &amp; ARO'!F51</f>
        <v>65608282</v>
      </c>
      <c r="J11" s="604">
        <f>+'9A - Gross Plant &amp; ARO'!H51</f>
        <v>0</v>
      </c>
      <c r="K11" s="603">
        <f t="shared" ref="K11:K23" si="0">+C11-F11</f>
        <v>1237003421</v>
      </c>
      <c r="L11" s="603">
        <f>+D11-G11-I11</f>
        <v>381478962.25611258</v>
      </c>
      <c r="M11" s="603">
        <f>+E11-J11-H11</f>
        <v>0</v>
      </c>
    </row>
    <row r="12" spans="1:17">
      <c r="A12" s="584">
        <v>2</v>
      </c>
      <c r="B12" s="602" t="s">
        <v>634</v>
      </c>
      <c r="C12" s="603">
        <f>+'9A - Gross Plant &amp; ARO'!L12</f>
        <v>1823500617.74</v>
      </c>
      <c r="D12" s="603">
        <f>+'9A - Gross Plant &amp; ARO'!M12</f>
        <v>561436255.83000004</v>
      </c>
      <c r="E12" s="603">
        <f>+'9A - Gross Plant &amp; ARO'!N12</f>
        <v>0</v>
      </c>
      <c r="F12" s="604">
        <f>+'9A - Gross Plant &amp; ARO'!D52</f>
        <v>589653670</v>
      </c>
      <c r="G12" s="604">
        <f>+'9A - Gross Plant &amp; ARO'!E52</f>
        <v>138495997.75</v>
      </c>
      <c r="H12" s="604">
        <f>+'9A - Gross Plant &amp; ARO'!G52</f>
        <v>0</v>
      </c>
      <c r="I12" s="604">
        <f>+'9A - Gross Plant &amp; ARO'!F52</f>
        <v>68054953.25</v>
      </c>
      <c r="J12" s="604">
        <f>+'9A - Gross Plant &amp; ARO'!H52</f>
        <v>0</v>
      </c>
      <c r="K12" s="603">
        <f t="shared" si="0"/>
        <v>1233846947.74</v>
      </c>
      <c r="L12" s="603">
        <f>+D12-G12-I12</f>
        <v>354885304.83000004</v>
      </c>
      <c r="M12" s="603">
        <f t="shared" ref="M12:M23" si="1">+E12-J12-H12</f>
        <v>0</v>
      </c>
    </row>
    <row r="13" spans="1:17">
      <c r="A13" s="584">
        <v>3</v>
      </c>
      <c r="B13" s="581" t="s">
        <v>635</v>
      </c>
      <c r="C13" s="603">
        <f>+'9A - Gross Plant &amp; ARO'!L13</f>
        <v>1824369325.6600001</v>
      </c>
      <c r="D13" s="603">
        <f>+'9A - Gross Plant &amp; ARO'!M13</f>
        <v>565650881.13000011</v>
      </c>
      <c r="E13" s="603">
        <f>+'9A - Gross Plant &amp; ARO'!N13</f>
        <v>0</v>
      </c>
      <c r="F13" s="604">
        <f>+'9A - Gross Plant &amp; ARO'!D53</f>
        <v>591841993</v>
      </c>
      <c r="G13" s="604">
        <f>+'9A - Gross Plant &amp; ARO'!E53</f>
        <v>140474178.27000001</v>
      </c>
      <c r="H13" s="604">
        <f>+'9A - Gross Plant &amp; ARO'!G53</f>
        <v>0</v>
      </c>
      <c r="I13" s="604">
        <f>+'9A - Gross Plant &amp; ARO'!F53</f>
        <v>70488586.730000004</v>
      </c>
      <c r="J13" s="604">
        <f>+'9A - Gross Plant &amp; ARO'!H53</f>
        <v>0</v>
      </c>
      <c r="K13" s="603">
        <f t="shared" si="0"/>
        <v>1232527332.6600001</v>
      </c>
      <c r="L13" s="603">
        <f t="shared" ref="L13:L23" si="2">+D13-G13-I13</f>
        <v>354688116.13000011</v>
      </c>
      <c r="M13" s="603">
        <f t="shared" si="1"/>
        <v>0</v>
      </c>
    </row>
    <row r="14" spans="1:17">
      <c r="A14" s="584">
        <v>4</v>
      </c>
      <c r="B14" s="581" t="s">
        <v>636</v>
      </c>
      <c r="C14" s="603">
        <f>+'9A - Gross Plant &amp; ARO'!L14</f>
        <v>1828041849.3700004</v>
      </c>
      <c r="D14" s="603">
        <f>+'9A - Gross Plant &amp; ARO'!M14</f>
        <v>593485022.02000022</v>
      </c>
      <c r="E14" s="603">
        <f>+'9A - Gross Plant &amp; ARO'!N14</f>
        <v>0</v>
      </c>
      <c r="F14" s="604">
        <f>+'9A - Gross Plant &amp; ARO'!D54</f>
        <v>592875173</v>
      </c>
      <c r="G14" s="604">
        <f>+'9A - Gross Plant &amp; ARO'!E54</f>
        <v>141194286.74000001</v>
      </c>
      <c r="H14" s="604">
        <f>+'9A - Gross Plant &amp; ARO'!G54</f>
        <v>0</v>
      </c>
      <c r="I14" s="604">
        <f>+'9A - Gross Plant &amp; ARO'!F54</f>
        <v>73545260.260000005</v>
      </c>
      <c r="J14" s="604">
        <f>+'9A - Gross Plant &amp; ARO'!H54</f>
        <v>0</v>
      </c>
      <c r="K14" s="603">
        <f t="shared" si="0"/>
        <v>1235166676.3700004</v>
      </c>
      <c r="L14" s="603">
        <f t="shared" si="2"/>
        <v>378745475.02000022</v>
      </c>
      <c r="M14" s="603">
        <f t="shared" si="1"/>
        <v>0</v>
      </c>
    </row>
    <row r="15" spans="1:17">
      <c r="A15" s="584">
        <v>5</v>
      </c>
      <c r="B15" s="581" t="s">
        <v>213</v>
      </c>
      <c r="C15" s="603">
        <f>+'9A - Gross Plant &amp; ARO'!L15</f>
        <v>1832410137.4799998</v>
      </c>
      <c r="D15" s="603">
        <f>+'9A - Gross Plant &amp; ARO'!M15</f>
        <v>595807704.16999996</v>
      </c>
      <c r="E15" s="603">
        <f>+'9A - Gross Plant &amp; ARO'!N15</f>
        <v>0</v>
      </c>
      <c r="F15" s="604">
        <f>+'9A - Gross Plant &amp; ARO'!D55</f>
        <v>595827449</v>
      </c>
      <c r="G15" s="604">
        <f>+'9A - Gross Plant &amp; ARO'!E55</f>
        <v>142732707.25999999</v>
      </c>
      <c r="H15" s="604">
        <f>+'9A - Gross Plant &amp; ARO'!G55</f>
        <v>0</v>
      </c>
      <c r="I15" s="604">
        <f>+'9A - Gross Plant &amp; ARO'!F55</f>
        <v>76431799.739999995</v>
      </c>
      <c r="J15" s="604">
        <f>+'9A - Gross Plant &amp; ARO'!H55</f>
        <v>0</v>
      </c>
      <c r="K15" s="603">
        <f t="shared" si="0"/>
        <v>1236582688.4799998</v>
      </c>
      <c r="L15" s="603">
        <f t="shared" si="2"/>
        <v>376643197.16999996</v>
      </c>
      <c r="M15" s="603">
        <f t="shared" si="1"/>
        <v>0</v>
      </c>
    </row>
    <row r="16" spans="1:17">
      <c r="A16" s="584">
        <v>6</v>
      </c>
      <c r="B16" s="581" t="s">
        <v>214</v>
      </c>
      <c r="C16" s="603">
        <f>+'9A - Gross Plant &amp; ARO'!L16</f>
        <v>1833839697.6199999</v>
      </c>
      <c r="D16" s="603">
        <f>+'9A - Gross Plant &amp; ARO'!M16</f>
        <v>599060361.28999996</v>
      </c>
      <c r="E16" s="603">
        <f>+'9A - Gross Plant &amp; ARO'!N16</f>
        <v>0</v>
      </c>
      <c r="F16" s="604">
        <f>+'9A - Gross Plant &amp; ARO'!D56</f>
        <v>598166039</v>
      </c>
      <c r="G16" s="604">
        <f>+'9A - Gross Plant &amp; ARO'!E56</f>
        <v>144209568.72999999</v>
      </c>
      <c r="H16" s="604">
        <f>+'9A - Gross Plant &amp; ARO'!G56</f>
        <v>0</v>
      </c>
      <c r="I16" s="604">
        <f>+'9A - Gross Plant &amp; ARO'!F56</f>
        <v>79326054.269999996</v>
      </c>
      <c r="J16" s="604">
        <f>+'9A - Gross Plant &amp; ARO'!H56</f>
        <v>0</v>
      </c>
      <c r="K16" s="603">
        <f t="shared" si="0"/>
        <v>1235673658.6199999</v>
      </c>
      <c r="L16" s="603">
        <f t="shared" si="2"/>
        <v>375524738.28999996</v>
      </c>
      <c r="M16" s="603">
        <f t="shared" si="1"/>
        <v>0</v>
      </c>
    </row>
    <row r="17" spans="1:15">
      <c r="A17" s="584">
        <v>7</v>
      </c>
      <c r="B17" s="581" t="s">
        <v>215</v>
      </c>
      <c r="C17" s="603">
        <f>+'9A - Gross Plant &amp; ARO'!L17</f>
        <v>1837531651.0699999</v>
      </c>
      <c r="D17" s="603">
        <f>+'9A - Gross Plant &amp; ARO'!M17</f>
        <v>600915972.2616173</v>
      </c>
      <c r="E17" s="603">
        <f>+'9A - Gross Plant &amp; ARO'!N17</f>
        <v>0</v>
      </c>
      <c r="F17" s="604">
        <f>+'9A - Gross Plant &amp; ARO'!D57</f>
        <v>600198993</v>
      </c>
      <c r="G17" s="604">
        <f>+'9A - Gross Plant &amp; ARO'!E57</f>
        <v>145169549.25</v>
      </c>
      <c r="H17" s="604">
        <f>+'9A - Gross Plant &amp; ARO'!G57</f>
        <v>0</v>
      </c>
      <c r="I17" s="604">
        <f>+'9A - Gross Plant &amp; ARO'!F57</f>
        <v>81887009.75</v>
      </c>
      <c r="J17" s="604">
        <f>+'9A - Gross Plant &amp; ARO'!H57</f>
        <v>0</v>
      </c>
      <c r="K17" s="603">
        <f t="shared" si="0"/>
        <v>1237332658.0699999</v>
      </c>
      <c r="L17" s="603">
        <f t="shared" si="2"/>
        <v>373859413.2616173</v>
      </c>
      <c r="M17" s="603">
        <f t="shared" si="1"/>
        <v>0</v>
      </c>
    </row>
    <row r="18" spans="1:15">
      <c r="A18" s="584">
        <v>8</v>
      </c>
      <c r="B18" s="581" t="s">
        <v>637</v>
      </c>
      <c r="C18" s="603">
        <f>+'9A - Gross Plant &amp; ARO'!L18</f>
        <v>1840499385.0100002</v>
      </c>
      <c r="D18" s="603">
        <f>+'9A - Gross Plant &amp; ARO'!M18</f>
        <v>603522185.87000012</v>
      </c>
      <c r="E18" s="603">
        <f>+'9A - Gross Plant &amp; ARO'!N18</f>
        <v>0</v>
      </c>
      <c r="F18" s="604">
        <f>+'9A - Gross Plant &amp; ARO'!D58</f>
        <v>602628421</v>
      </c>
      <c r="G18" s="604">
        <f>+'9A - Gross Plant &amp; ARO'!E58</f>
        <v>146799373.72</v>
      </c>
      <c r="H18" s="604">
        <f>+'9A - Gross Plant &amp; ARO'!G58</f>
        <v>0</v>
      </c>
      <c r="I18" s="604">
        <f>+'9A - Gross Plant &amp; ARO'!F58</f>
        <v>84780792.280000001</v>
      </c>
      <c r="J18" s="604">
        <f>+'9A - Gross Plant &amp; ARO'!H58</f>
        <v>0</v>
      </c>
      <c r="K18" s="603">
        <f t="shared" si="0"/>
        <v>1237870964.0100002</v>
      </c>
      <c r="L18" s="603">
        <f t="shared" si="2"/>
        <v>371942019.87000012</v>
      </c>
      <c r="M18" s="603">
        <f t="shared" si="1"/>
        <v>0</v>
      </c>
    </row>
    <row r="19" spans="1:15">
      <c r="A19" s="584">
        <v>9</v>
      </c>
      <c r="B19" s="581" t="s">
        <v>638</v>
      </c>
      <c r="C19" s="603">
        <f>+'9A - Gross Plant &amp; ARO'!L19</f>
        <v>1841124245.9699998</v>
      </c>
      <c r="D19" s="603">
        <f>+'9A - Gross Plant &amp; ARO'!M19</f>
        <v>604683894.95000005</v>
      </c>
      <c r="E19" s="603">
        <f>+'9A - Gross Plant &amp; ARO'!N19</f>
        <v>0</v>
      </c>
      <c r="F19" s="604">
        <f>+'9A - Gross Plant &amp; ARO'!D59</f>
        <v>600599154</v>
      </c>
      <c r="G19" s="604">
        <f>+'9A - Gross Plant &amp; ARO'!E59</f>
        <v>148600643.24000001</v>
      </c>
      <c r="H19" s="604">
        <f>+'9A - Gross Plant &amp; ARO'!G59</f>
        <v>0</v>
      </c>
      <c r="I19" s="604">
        <f>+'9A - Gross Plant &amp; ARO'!F59</f>
        <v>87679955.760000005</v>
      </c>
      <c r="J19" s="604">
        <f>+'9A - Gross Plant &amp; ARO'!H59</f>
        <v>0</v>
      </c>
      <c r="K19" s="603">
        <f t="shared" si="0"/>
        <v>1240525091.9699998</v>
      </c>
      <c r="L19" s="603">
        <f t="shared" si="2"/>
        <v>368403295.95000005</v>
      </c>
      <c r="M19" s="603">
        <f t="shared" si="1"/>
        <v>0</v>
      </c>
    </row>
    <row r="20" spans="1:15">
      <c r="A20" s="584">
        <v>10</v>
      </c>
      <c r="B20" s="581" t="s">
        <v>639</v>
      </c>
      <c r="C20" s="603">
        <f>+'9A - Gross Plant &amp; ARO'!L20</f>
        <v>1848508280.0799997</v>
      </c>
      <c r="D20" s="603">
        <f>+'9A - Gross Plant &amp; ARO'!M20</f>
        <v>597815109.62635636</v>
      </c>
      <c r="E20" s="603">
        <f>+'9A - Gross Plant &amp; ARO'!N20</f>
        <v>0</v>
      </c>
      <c r="F20" s="604">
        <f>+'9A - Gross Plant &amp; ARO'!D60</f>
        <v>601327792</v>
      </c>
      <c r="G20" s="604">
        <f>+'9A - Gross Plant &amp; ARO'!E60</f>
        <v>145190760.28999999</v>
      </c>
      <c r="H20" s="604">
        <f>+'9A - Gross Plant &amp; ARO'!G60</f>
        <v>0</v>
      </c>
      <c r="I20" s="604">
        <f>+'9A - Gross Plant &amp; ARO'!F60</f>
        <v>90615894.710000008</v>
      </c>
      <c r="J20" s="604">
        <f>+'9A - Gross Plant &amp; ARO'!H60</f>
        <v>0</v>
      </c>
      <c r="K20" s="603">
        <f t="shared" si="0"/>
        <v>1247180488.0799997</v>
      </c>
      <c r="L20" s="603">
        <f t="shared" si="2"/>
        <v>362008454.62635636</v>
      </c>
      <c r="M20" s="603">
        <f t="shared" si="1"/>
        <v>0</v>
      </c>
    </row>
    <row r="21" spans="1:15">
      <c r="A21" s="584">
        <v>11</v>
      </c>
      <c r="B21" s="581" t="s">
        <v>640</v>
      </c>
      <c r="C21" s="603">
        <f>+'9A - Gross Plant &amp; ARO'!L21</f>
        <v>1850515510.47</v>
      </c>
      <c r="D21" s="603">
        <f>+'9A - Gross Plant &amp; ARO'!M21</f>
        <v>603310699.44999981</v>
      </c>
      <c r="E21" s="603">
        <f>+'9A - Gross Plant &amp; ARO'!N21</f>
        <v>0</v>
      </c>
      <c r="F21" s="604">
        <f>+'9A - Gross Plant &amp; ARO'!D61</f>
        <v>603028493</v>
      </c>
      <c r="G21" s="604">
        <f>+'9A - Gross Plant &amp; ARO'!E61</f>
        <v>146972934.81</v>
      </c>
      <c r="H21" s="604">
        <f>+'9A - Gross Plant &amp; ARO'!G61</f>
        <v>0</v>
      </c>
      <c r="I21" s="604">
        <f>+'9A - Gross Plant &amp; ARO'!F61</f>
        <v>93602758.189999998</v>
      </c>
      <c r="J21" s="604">
        <f>+'9A - Gross Plant &amp; ARO'!H61</f>
        <v>0</v>
      </c>
      <c r="K21" s="603">
        <f t="shared" si="0"/>
        <v>1247487017.47</v>
      </c>
      <c r="L21" s="603">
        <f t="shared" si="2"/>
        <v>362735006.44999981</v>
      </c>
      <c r="M21" s="603">
        <f t="shared" si="1"/>
        <v>0</v>
      </c>
    </row>
    <row r="22" spans="1:15">
      <c r="A22" s="584">
        <v>12</v>
      </c>
      <c r="B22" s="581" t="s">
        <v>641</v>
      </c>
      <c r="C22" s="603">
        <f>+'9A - Gross Plant &amp; ARO'!L22</f>
        <v>1853044250.1099994</v>
      </c>
      <c r="D22" s="603">
        <f>+'9A - Gross Plant &amp; ARO'!M22</f>
        <v>614083507.77999997</v>
      </c>
      <c r="E22" s="603">
        <f>+'9A - Gross Plant &amp; ARO'!N22</f>
        <v>0</v>
      </c>
      <c r="F22" s="604">
        <f>+'9A - Gross Plant &amp; ARO'!D62</f>
        <v>604593628</v>
      </c>
      <c r="G22" s="604">
        <f>+'9A - Gross Plant &amp; ARO'!E62</f>
        <v>148610115.75999999</v>
      </c>
      <c r="H22" s="604">
        <f>+'9A - Gross Plant &amp; ARO'!G62</f>
        <v>0</v>
      </c>
      <c r="I22" s="604">
        <f>+'9A - Gross Plant &amp; ARO'!F62</f>
        <v>96615485.239999995</v>
      </c>
      <c r="J22" s="604">
        <f>+'9A - Gross Plant &amp; ARO'!H62</f>
        <v>0</v>
      </c>
      <c r="K22" s="603">
        <f t="shared" si="0"/>
        <v>1248450622.1099994</v>
      </c>
      <c r="L22" s="603">
        <f t="shared" si="2"/>
        <v>368857906.77999997</v>
      </c>
      <c r="M22" s="603">
        <f t="shared" si="1"/>
        <v>0</v>
      </c>
    </row>
    <row r="23" spans="1:15">
      <c r="A23" s="584">
        <v>13</v>
      </c>
      <c r="B23" s="581" t="s">
        <v>642</v>
      </c>
      <c r="C23" s="603">
        <f>+'9A - Gross Plant &amp; ARO'!L23</f>
        <v>1864901730</v>
      </c>
      <c r="D23" s="603">
        <f>+'9A - Gross Plant &amp; ARO'!M23</f>
        <v>619296846.48000002</v>
      </c>
      <c r="E23" s="603">
        <f>+'9A - Gross Plant &amp; ARO'!N23</f>
        <v>0</v>
      </c>
      <c r="F23" s="604">
        <f>+'9A - Gross Plant &amp; ARO'!D63</f>
        <v>605660281</v>
      </c>
      <c r="G23" s="604">
        <f>+'9A - Gross Plant &amp; ARO'!E63</f>
        <v>145698306.96000001</v>
      </c>
      <c r="H23" s="604">
        <f>+'9A - Gross Plant &amp; ARO'!G63</f>
        <v>0</v>
      </c>
      <c r="I23" s="604">
        <f>+'9A - Gross Plant &amp; ARO'!F63</f>
        <v>99641134</v>
      </c>
      <c r="J23" s="604">
        <f>+'9A - Gross Plant &amp; ARO'!H63</f>
        <v>0</v>
      </c>
      <c r="K23" s="603">
        <f t="shared" si="0"/>
        <v>1259241449</v>
      </c>
      <c r="L23" s="603">
        <f t="shared" si="2"/>
        <v>373957405.51999998</v>
      </c>
      <c r="M23" s="603">
        <f t="shared" si="1"/>
        <v>0</v>
      </c>
    </row>
    <row r="24" spans="1:15">
      <c r="A24" s="584">
        <v>14</v>
      </c>
      <c r="B24" s="613" t="s">
        <v>915</v>
      </c>
      <c r="C24" s="850">
        <f t="shared" ref="C24:M24" si="3">SUM(C11:C23)/13</f>
        <v>1838575526.6599998</v>
      </c>
      <c r="D24" s="850">
        <f t="shared" si="3"/>
        <v>596274455.13108361</v>
      </c>
      <c r="E24" s="850">
        <f t="shared" si="3"/>
        <v>0</v>
      </c>
      <c r="F24" s="850">
        <f t="shared" si="3"/>
        <v>597891756.23076928</v>
      </c>
      <c r="G24" s="850">
        <f t="shared" si="3"/>
        <v>144581588.7976923</v>
      </c>
      <c r="H24" s="850">
        <f t="shared" si="3"/>
        <v>0</v>
      </c>
      <c r="I24" s="850">
        <f t="shared" si="3"/>
        <v>82175228.167692319</v>
      </c>
      <c r="J24" s="850">
        <f t="shared" si="3"/>
        <v>0</v>
      </c>
      <c r="K24" s="850">
        <f t="shared" si="3"/>
        <v>1240683770.4292307</v>
      </c>
      <c r="L24" s="850">
        <f t="shared" si="3"/>
        <v>369517638.16569889</v>
      </c>
      <c r="M24" s="850">
        <f t="shared" si="3"/>
        <v>0</v>
      </c>
    </row>
    <row r="25" spans="1:15" ht="12" customHeight="1">
      <c r="A25" s="584">
        <v>15</v>
      </c>
      <c r="B25" s="613" t="s">
        <v>914</v>
      </c>
      <c r="C25" s="617"/>
      <c r="D25" s="617">
        <f>+'10 - Merger Costs'!G34</f>
        <v>0</v>
      </c>
      <c r="E25" s="617"/>
      <c r="F25" s="617"/>
      <c r="G25" s="617">
        <f>+'10 - Merger Costs'!C51</f>
        <v>0</v>
      </c>
      <c r="H25" s="617"/>
      <c r="I25" s="617">
        <f>+'10 - Merger Costs'!D51</f>
        <v>0</v>
      </c>
      <c r="J25" s="617"/>
      <c r="K25" s="617">
        <f>+C25-F25</f>
        <v>0</v>
      </c>
      <c r="L25" s="617">
        <f>+D25-G25-I25</f>
        <v>0</v>
      </c>
      <c r="M25" s="617">
        <f>+E25-J25-H25</f>
        <v>0</v>
      </c>
    </row>
    <row r="26" spans="1:15" ht="13.5" thickBot="1">
      <c r="A26" s="584">
        <v>16</v>
      </c>
      <c r="B26" s="613" t="s">
        <v>911</v>
      </c>
      <c r="C26" s="605">
        <f>+C24-C25</f>
        <v>1838575526.6599998</v>
      </c>
      <c r="D26" s="605">
        <f t="shared" ref="D26:M26" si="4">+D24-D25</f>
        <v>596274455.13108361</v>
      </c>
      <c r="E26" s="605">
        <f t="shared" si="4"/>
        <v>0</v>
      </c>
      <c r="F26" s="605">
        <f t="shared" si="4"/>
        <v>597891756.23076928</v>
      </c>
      <c r="G26" s="605">
        <f t="shared" si="4"/>
        <v>144581588.7976923</v>
      </c>
      <c r="H26" s="605">
        <f t="shared" si="4"/>
        <v>0</v>
      </c>
      <c r="I26" s="605">
        <f t="shared" si="4"/>
        <v>82175228.167692319</v>
      </c>
      <c r="J26" s="605">
        <f t="shared" si="4"/>
        <v>0</v>
      </c>
      <c r="K26" s="605">
        <f t="shared" si="4"/>
        <v>1240683770.4292307</v>
      </c>
      <c r="L26" s="605">
        <f t="shared" si="4"/>
        <v>369517638.16569889</v>
      </c>
      <c r="M26" s="605">
        <f t="shared" si="4"/>
        <v>0</v>
      </c>
    </row>
    <row r="27" spans="1:15" ht="13.5" thickTop="1">
      <c r="A27" s="584"/>
      <c r="B27" s="581"/>
      <c r="C27" s="606"/>
      <c r="D27" s="607"/>
      <c r="E27" s="607"/>
      <c r="F27" s="607"/>
      <c r="G27" s="606"/>
      <c r="H27" s="606"/>
      <c r="I27" s="606"/>
      <c r="J27" s="606"/>
    </row>
    <row r="28" spans="1:15">
      <c r="A28" s="584"/>
      <c r="B28" s="608"/>
      <c r="C28" s="1998" t="s">
        <v>644</v>
      </c>
      <c r="D28" s="1998"/>
      <c r="E28" s="1998"/>
      <c r="F28" s="1998"/>
      <c r="G28" s="1998"/>
      <c r="H28" s="1998"/>
      <c r="I28" s="1998"/>
      <c r="J28" s="1998"/>
    </row>
    <row r="29" spans="1:15" ht="72" customHeight="1">
      <c r="A29" s="584" t="s">
        <v>611</v>
      </c>
      <c r="B29" s="589" t="s">
        <v>211</v>
      </c>
      <c r="C29" s="589" t="s">
        <v>610</v>
      </c>
      <c r="D29" s="589" t="s">
        <v>681</v>
      </c>
      <c r="E29" s="588"/>
      <c r="F29" s="591" t="s">
        <v>677</v>
      </c>
      <c r="G29" s="589"/>
      <c r="H29" s="594" t="s">
        <v>645</v>
      </c>
      <c r="I29" s="594" t="s">
        <v>646</v>
      </c>
      <c r="J29" s="594" t="s">
        <v>647</v>
      </c>
      <c r="K29" s="594" t="s">
        <v>648</v>
      </c>
      <c r="L29" s="594" t="s">
        <v>649</v>
      </c>
      <c r="M29" s="594" t="s">
        <v>933</v>
      </c>
    </row>
    <row r="30" spans="1:15" s="595" customFormat="1">
      <c r="A30" s="584"/>
      <c r="B30" s="589" t="s">
        <v>617</v>
      </c>
      <c r="C30" s="591" t="s">
        <v>613</v>
      </c>
      <c r="D30" s="591" t="s">
        <v>614</v>
      </c>
      <c r="E30" s="591" t="s">
        <v>615</v>
      </c>
      <c r="F30" s="591" t="s">
        <v>678</v>
      </c>
      <c r="G30" s="591" t="s">
        <v>616</v>
      </c>
      <c r="H30" s="594"/>
      <c r="I30" s="594"/>
      <c r="J30" s="609"/>
      <c r="K30" s="609"/>
      <c r="L30" s="609"/>
      <c r="M30" s="609"/>
      <c r="N30" s="580"/>
      <c r="O30" s="580"/>
    </row>
    <row r="31" spans="1:15" s="595" customFormat="1">
      <c r="C31" s="589" t="s">
        <v>618</v>
      </c>
      <c r="D31" s="589" t="s">
        <v>619</v>
      </c>
      <c r="E31" s="591" t="s">
        <v>620</v>
      </c>
      <c r="F31" s="589" t="s">
        <v>621</v>
      </c>
      <c r="G31" s="591" t="s">
        <v>622</v>
      </c>
      <c r="H31" s="589" t="s">
        <v>623</v>
      </c>
      <c r="I31" s="591" t="s">
        <v>624</v>
      </c>
      <c r="J31" s="589" t="s">
        <v>625</v>
      </c>
      <c r="K31" s="589" t="s">
        <v>626</v>
      </c>
      <c r="L31" s="591" t="s">
        <v>627</v>
      </c>
      <c r="M31" s="856" t="s">
        <v>661</v>
      </c>
      <c r="N31" s="580"/>
      <c r="O31" s="580"/>
    </row>
    <row r="32" spans="1:15" s="595" customFormat="1">
      <c r="A32" s="584"/>
      <c r="B32" s="596" t="s">
        <v>680</v>
      </c>
      <c r="C32" s="598" t="s">
        <v>420</v>
      </c>
      <c r="D32" s="598">
        <v>28</v>
      </c>
      <c r="E32" s="598">
        <v>50</v>
      </c>
      <c r="F32" s="598">
        <v>47</v>
      </c>
      <c r="G32" s="598">
        <v>45</v>
      </c>
      <c r="H32" s="610"/>
      <c r="I32" s="610" t="s">
        <v>423</v>
      </c>
      <c r="J32" s="610"/>
      <c r="K32" s="610"/>
      <c r="L32" s="610"/>
      <c r="M32" s="610"/>
      <c r="N32" s="580"/>
      <c r="O32" s="580"/>
    </row>
    <row r="33" spans="1:16" s="595" customFormat="1" ht="51" customHeight="1">
      <c r="A33" s="584"/>
      <c r="B33" s="589"/>
      <c r="C33" s="601" t="s">
        <v>82</v>
      </c>
      <c r="D33" s="600" t="s">
        <v>1137</v>
      </c>
      <c r="E33" s="1121" t="s">
        <v>1555</v>
      </c>
      <c r="F33" s="600" t="s">
        <v>679</v>
      </c>
      <c r="G33" s="591" t="s">
        <v>1010</v>
      </c>
      <c r="H33" s="591"/>
      <c r="I33" s="594" t="s">
        <v>650</v>
      </c>
      <c r="J33" s="594" t="s">
        <v>416</v>
      </c>
      <c r="K33" s="594" t="s">
        <v>416</v>
      </c>
      <c r="L33" s="594" t="s">
        <v>416</v>
      </c>
      <c r="M33" s="594" t="s">
        <v>416</v>
      </c>
      <c r="N33" s="580"/>
      <c r="O33" s="580"/>
    </row>
    <row r="34" spans="1:16">
      <c r="A34" s="584">
        <v>17</v>
      </c>
      <c r="B34" s="602" t="s">
        <v>633</v>
      </c>
      <c r="C34" s="603">
        <v>0</v>
      </c>
      <c r="D34" s="603">
        <v>0</v>
      </c>
      <c r="E34" s="603">
        <v>14516049</v>
      </c>
      <c r="F34" s="603">
        <v>0</v>
      </c>
      <c r="G34" s="603">
        <f>+'5 - Cost Support 1'!G112</f>
        <v>42983506.510458291</v>
      </c>
      <c r="H34" s="603">
        <v>0</v>
      </c>
      <c r="I34" s="603">
        <v>350704.26000000007</v>
      </c>
      <c r="J34" s="612"/>
      <c r="K34" s="612"/>
      <c r="L34" s="612"/>
      <c r="M34" s="612"/>
    </row>
    <row r="35" spans="1:16">
      <c r="A35" s="584">
        <v>18</v>
      </c>
      <c r="B35" s="602" t="s">
        <v>634</v>
      </c>
      <c r="C35" s="603">
        <v>0</v>
      </c>
      <c r="D35" s="603">
        <v>0</v>
      </c>
      <c r="E35" s="603">
        <v>16668902.303479999</v>
      </c>
      <c r="F35" s="647"/>
      <c r="G35" s="603">
        <f>+'5 - Cost Support 1'!H112</f>
        <v>49000051.1248869</v>
      </c>
      <c r="H35" s="647">
        <f t="shared" ref="H35:H45" si="5">H34+(H$46-H$34)/12</f>
        <v>0</v>
      </c>
      <c r="I35" s="603">
        <v>340429.72000000009</v>
      </c>
      <c r="J35" s="612"/>
      <c r="K35" s="612"/>
      <c r="L35" s="612"/>
      <c r="M35" s="612"/>
    </row>
    <row r="36" spans="1:16">
      <c r="A36" s="584">
        <v>19</v>
      </c>
      <c r="B36" s="581" t="s">
        <v>635</v>
      </c>
      <c r="C36" s="603">
        <v>0</v>
      </c>
      <c r="D36" s="603">
        <v>0</v>
      </c>
      <c r="E36" s="603">
        <v>16720610.358084345</v>
      </c>
      <c r="F36" s="647"/>
      <c r="G36" s="603">
        <f>+'5 - Cost Support 1'!I112</f>
        <v>48026481.864552028</v>
      </c>
      <c r="H36" s="647">
        <f t="shared" si="5"/>
        <v>0</v>
      </c>
      <c r="I36" s="603">
        <v>330155.18000000011</v>
      </c>
      <c r="J36" s="612"/>
      <c r="K36" s="612"/>
      <c r="L36" s="612"/>
      <c r="M36" s="612"/>
    </row>
    <row r="37" spans="1:16">
      <c r="A37" s="584">
        <v>20</v>
      </c>
      <c r="B37" s="581" t="s">
        <v>636</v>
      </c>
      <c r="C37" s="603">
        <v>0</v>
      </c>
      <c r="D37" s="603">
        <v>0</v>
      </c>
      <c r="E37" s="603">
        <v>16895746.163249236</v>
      </c>
      <c r="F37" s="647"/>
      <c r="G37" s="603">
        <f>+'5 - Cost Support 1'!J112</f>
        <v>43358258.229787104</v>
      </c>
      <c r="H37" s="647">
        <f t="shared" si="5"/>
        <v>0</v>
      </c>
      <c r="I37" s="603">
        <v>319880.64000000013</v>
      </c>
      <c r="J37" s="612"/>
      <c r="K37" s="612"/>
      <c r="L37" s="612"/>
      <c r="M37" s="612"/>
    </row>
    <row r="38" spans="1:16">
      <c r="A38" s="584">
        <v>21</v>
      </c>
      <c r="B38" s="581" t="s">
        <v>213</v>
      </c>
      <c r="C38" s="603">
        <v>0</v>
      </c>
      <c r="D38" s="603">
        <v>0</v>
      </c>
      <c r="E38" s="603">
        <v>17367373.718196716</v>
      </c>
      <c r="F38" s="647"/>
      <c r="G38" s="603">
        <f>+'5 - Cost Support 1'!K112</f>
        <v>42160055.499199569</v>
      </c>
      <c r="H38" s="647">
        <f t="shared" si="5"/>
        <v>0</v>
      </c>
      <c r="I38" s="603">
        <v>309606.10000000015</v>
      </c>
      <c r="J38" s="612"/>
      <c r="K38" s="612"/>
      <c r="L38" s="612"/>
      <c r="M38" s="612"/>
    </row>
    <row r="39" spans="1:16">
      <c r="A39" s="584">
        <v>22</v>
      </c>
      <c r="B39" s="581" t="s">
        <v>214</v>
      </c>
      <c r="C39" s="603">
        <v>0</v>
      </c>
      <c r="D39" s="603">
        <v>0</v>
      </c>
      <c r="E39" s="603">
        <v>17614723.610520452</v>
      </c>
      <c r="F39" s="647"/>
      <c r="G39" s="603">
        <f>+'5 - Cost Support 1'!L112</f>
        <v>40935765.914096065</v>
      </c>
      <c r="H39" s="647">
        <f t="shared" si="5"/>
        <v>0</v>
      </c>
      <c r="I39" s="603">
        <v>299331.56000000017</v>
      </c>
      <c r="J39" s="612"/>
      <c r="K39" s="612"/>
      <c r="L39" s="612"/>
      <c r="M39" s="612"/>
    </row>
    <row r="40" spans="1:16">
      <c r="A40" s="584">
        <v>23</v>
      </c>
      <c r="B40" s="581" t="s">
        <v>215</v>
      </c>
      <c r="C40" s="603">
        <v>0</v>
      </c>
      <c r="D40" s="603">
        <v>0</v>
      </c>
      <c r="E40" s="603">
        <v>17797899.935436767</v>
      </c>
      <c r="F40" s="647"/>
      <c r="G40" s="603">
        <f>+'5 - Cost Support 1'!M112</f>
        <v>39563184.06529393</v>
      </c>
      <c r="H40" s="647">
        <f t="shared" si="5"/>
        <v>0</v>
      </c>
      <c r="I40" s="603">
        <v>289057.02000000019</v>
      </c>
      <c r="J40" s="612"/>
      <c r="K40" s="612"/>
      <c r="L40" s="612"/>
      <c r="M40" s="612"/>
    </row>
    <row r="41" spans="1:16">
      <c r="A41" s="584">
        <v>24</v>
      </c>
      <c r="B41" s="581" t="s">
        <v>637</v>
      </c>
      <c r="C41" s="603">
        <v>0</v>
      </c>
      <c r="D41" s="603">
        <v>0</v>
      </c>
      <c r="E41" s="603">
        <v>18076818.076492816</v>
      </c>
      <c r="F41" s="647"/>
      <c r="G41" s="603">
        <f>+'5 - Cost Support 1'!N112</f>
        <v>38302434.627355255</v>
      </c>
      <c r="H41" s="647">
        <f t="shared" si="5"/>
        <v>0</v>
      </c>
      <c r="I41" s="603">
        <v>278782.48000000021</v>
      </c>
      <c r="J41" s="612"/>
      <c r="K41" s="612"/>
      <c r="L41" s="612"/>
      <c r="M41" s="612"/>
    </row>
    <row r="42" spans="1:16">
      <c r="A42" s="584">
        <v>25</v>
      </c>
      <c r="B42" s="581" t="s">
        <v>638</v>
      </c>
      <c r="C42" s="603">
        <v>0</v>
      </c>
      <c r="D42" s="603">
        <v>0</v>
      </c>
      <c r="E42" s="603">
        <v>19705581.667817734</v>
      </c>
      <c r="F42" s="647"/>
      <c r="G42" s="603">
        <f>+'5 - Cost Support 1'!O112</f>
        <v>36918950.229865387</v>
      </c>
      <c r="H42" s="647">
        <f t="shared" si="5"/>
        <v>0</v>
      </c>
      <c r="I42" s="603">
        <v>268507.94000000024</v>
      </c>
      <c r="J42" s="612"/>
      <c r="K42" s="612"/>
      <c r="L42" s="612"/>
      <c r="M42" s="612"/>
    </row>
    <row r="43" spans="1:16">
      <c r="A43" s="584">
        <v>26</v>
      </c>
      <c r="B43" s="581" t="s">
        <v>639</v>
      </c>
      <c r="C43" s="603">
        <v>0</v>
      </c>
      <c r="D43" s="603">
        <v>0</v>
      </c>
      <c r="E43" s="603">
        <v>19671137.643952582</v>
      </c>
      <c r="F43" s="647"/>
      <c r="G43" s="603">
        <f>+'5 - Cost Support 1'!P112</f>
        <v>39423659.752150312</v>
      </c>
      <c r="H43" s="647">
        <f t="shared" si="5"/>
        <v>0</v>
      </c>
      <c r="I43" s="603">
        <v>258233.40000000023</v>
      </c>
      <c r="J43" s="612"/>
      <c r="K43" s="612"/>
      <c r="L43" s="612"/>
      <c r="M43" s="612"/>
    </row>
    <row r="44" spans="1:16">
      <c r="A44" s="584">
        <v>27</v>
      </c>
      <c r="B44" s="581" t="s">
        <v>640</v>
      </c>
      <c r="C44" s="603">
        <v>0</v>
      </c>
      <c r="D44" s="603">
        <v>0</v>
      </c>
      <c r="E44" s="603">
        <v>20477490.016065881</v>
      </c>
      <c r="F44" s="647"/>
      <c r="G44" s="603">
        <f>+'5 - Cost Support 1'!Q112</f>
        <v>39386303.675328456</v>
      </c>
      <c r="H44" s="647">
        <f t="shared" si="5"/>
        <v>0</v>
      </c>
      <c r="I44" s="603">
        <v>247958.86000000022</v>
      </c>
      <c r="J44" s="612"/>
      <c r="K44" s="612"/>
      <c r="L44" s="612"/>
      <c r="M44" s="612"/>
    </row>
    <row r="45" spans="1:16">
      <c r="A45" s="584">
        <v>28</v>
      </c>
      <c r="B45" s="581" t="s">
        <v>641</v>
      </c>
      <c r="C45" s="603">
        <v>0</v>
      </c>
      <c r="D45" s="603">
        <v>0</v>
      </c>
      <c r="E45" s="603">
        <v>20545945.244226541</v>
      </c>
      <c r="F45" s="647"/>
      <c r="G45" s="603">
        <f>+'5 - Cost Support 1'!R112</f>
        <v>40042358.950866178</v>
      </c>
      <c r="H45" s="647">
        <f t="shared" si="5"/>
        <v>0</v>
      </c>
      <c r="I45" s="603">
        <v>237684.32000000021</v>
      </c>
      <c r="J45" s="612"/>
      <c r="K45" s="612"/>
      <c r="L45" s="612"/>
      <c r="M45" s="612"/>
    </row>
    <row r="46" spans="1:16">
      <c r="A46" s="584">
        <v>29</v>
      </c>
      <c r="B46" s="581" t="s">
        <v>642</v>
      </c>
      <c r="C46" s="603">
        <v>0</v>
      </c>
      <c r="D46" s="603">
        <v>0</v>
      </c>
      <c r="E46" s="603">
        <v>19268302</v>
      </c>
      <c r="F46" s="603"/>
      <c r="G46" s="603">
        <f>+'5 - Cost Support 1'!S112</f>
        <v>46292724.569307864</v>
      </c>
      <c r="H46" s="603">
        <v>0</v>
      </c>
      <c r="I46" s="603">
        <v>227409.7800000002</v>
      </c>
      <c r="J46" s="612"/>
      <c r="K46" s="612"/>
      <c r="L46" s="612"/>
      <c r="M46" s="612"/>
    </row>
    <row r="47" spans="1:16" ht="13.5" thickBot="1">
      <c r="A47" s="584">
        <v>30</v>
      </c>
      <c r="B47" s="613" t="s">
        <v>910</v>
      </c>
      <c r="C47" s="605">
        <f>SUM(C34:C46)/13</f>
        <v>0</v>
      </c>
      <c r="D47" s="605">
        <f t="shared" ref="D47:I47" si="6">SUM(D34:D46)/13</f>
        <v>0</v>
      </c>
      <c r="E47" s="605">
        <f t="shared" si="6"/>
        <v>18102044.595194086</v>
      </c>
      <c r="F47" s="605">
        <f t="shared" si="6"/>
        <v>0</v>
      </c>
      <c r="G47" s="605">
        <f t="shared" si="6"/>
        <v>42030287.308703646</v>
      </c>
      <c r="H47" s="605">
        <f t="shared" si="6"/>
        <v>0</v>
      </c>
      <c r="I47" s="605">
        <f t="shared" si="6"/>
        <v>289057.02000000019</v>
      </c>
      <c r="J47" s="605"/>
      <c r="K47" s="605"/>
      <c r="L47" s="614"/>
      <c r="M47" s="605"/>
      <c r="P47" s="595"/>
    </row>
    <row r="48" spans="1:16" ht="15" thickTop="1">
      <c r="A48" s="584"/>
      <c r="B48" s="581"/>
      <c r="E48"/>
      <c r="F48"/>
      <c r="G48"/>
      <c r="H48"/>
      <c r="I48" s="607"/>
      <c r="K48" s="586"/>
      <c r="P48" s="595"/>
    </row>
    <row r="49" spans="1:18">
      <c r="A49" s="584"/>
      <c r="K49" s="611"/>
      <c r="P49" s="595"/>
    </row>
    <row r="50" spans="1:18">
      <c r="A50" s="619"/>
      <c r="B50" s="620"/>
      <c r="C50" s="621"/>
      <c r="D50" s="621"/>
      <c r="E50" s="621"/>
      <c r="F50" s="621"/>
      <c r="G50" s="621"/>
      <c r="M50" s="595"/>
      <c r="N50" s="595"/>
      <c r="O50" s="595"/>
      <c r="P50" s="595"/>
      <c r="Q50" s="595"/>
      <c r="R50" s="595"/>
    </row>
    <row r="51" spans="1:18">
      <c r="A51" s="619"/>
      <c r="B51" s="620"/>
      <c r="C51" s="621"/>
      <c r="D51" s="621"/>
      <c r="E51" s="621"/>
      <c r="F51" s="621"/>
      <c r="G51" s="621"/>
      <c r="M51" s="595"/>
      <c r="N51" s="595"/>
      <c r="O51" s="595"/>
      <c r="P51" s="595"/>
      <c r="Q51" s="595"/>
      <c r="R51" s="595"/>
    </row>
    <row r="52" spans="1:18">
      <c r="A52" s="584" t="s">
        <v>651</v>
      </c>
    </row>
    <row r="53" spans="1:18" ht="12.75" customHeight="1">
      <c r="A53" s="584" t="s">
        <v>9</v>
      </c>
      <c r="B53" s="1999" t="s">
        <v>1386</v>
      </c>
      <c r="C53" s="1999"/>
      <c r="D53" s="1999"/>
      <c r="E53" s="1999"/>
      <c r="F53" s="1999"/>
      <c r="G53" s="1999"/>
      <c r="H53" s="1999"/>
      <c r="I53" s="1999"/>
      <c r="J53" s="1999"/>
      <c r="K53" s="1999"/>
      <c r="L53" s="1999"/>
    </row>
    <row r="54" spans="1:18" ht="12.75" customHeight="1">
      <c r="A54" s="584" t="s">
        <v>10</v>
      </c>
      <c r="B54" s="2000" t="s">
        <v>652</v>
      </c>
      <c r="C54" s="2000"/>
      <c r="D54" s="2000"/>
      <c r="E54" s="2000"/>
      <c r="F54" s="2000"/>
      <c r="G54" s="2000"/>
      <c r="H54" s="2000"/>
      <c r="I54" s="2000"/>
      <c r="J54" s="2000"/>
      <c r="K54" s="2000"/>
      <c r="L54" s="2000"/>
      <c r="M54" s="586"/>
    </row>
    <row r="55" spans="1:18" ht="12.75" customHeight="1">
      <c r="A55" s="584" t="s">
        <v>11</v>
      </c>
      <c r="B55" s="580" t="s">
        <v>653</v>
      </c>
      <c r="C55" s="622"/>
      <c r="D55" s="622"/>
      <c r="E55" s="622"/>
      <c r="F55" s="622"/>
      <c r="G55" s="622"/>
      <c r="H55" s="622"/>
      <c r="I55" s="622"/>
      <c r="J55" s="622"/>
      <c r="K55" s="622"/>
      <c r="L55" s="622"/>
    </row>
    <row r="56" spans="1:18">
      <c r="A56" s="584"/>
      <c r="B56" s="623" t="s">
        <v>654</v>
      </c>
      <c r="C56" s="624"/>
      <c r="D56" s="624"/>
      <c r="E56" s="624"/>
      <c r="F56" s="624"/>
      <c r="G56" s="624"/>
      <c r="H56" s="624"/>
      <c r="I56" s="632"/>
      <c r="J56" s="624"/>
      <c r="K56" s="624"/>
      <c r="L56" s="624"/>
    </row>
    <row r="57" spans="1:18">
      <c r="A57" s="584"/>
      <c r="B57" s="623" t="s">
        <v>655</v>
      </c>
      <c r="C57" s="624"/>
      <c r="D57" s="624"/>
      <c r="E57" s="624"/>
      <c r="F57" s="624"/>
      <c r="G57" s="624"/>
      <c r="H57" s="624"/>
      <c r="I57" s="632"/>
      <c r="J57" s="624"/>
      <c r="K57" s="624"/>
      <c r="L57" s="624"/>
    </row>
    <row r="58" spans="1:18" ht="12.75" customHeight="1">
      <c r="A58" s="584" t="s">
        <v>14</v>
      </c>
      <c r="B58" s="580" t="s">
        <v>1009</v>
      </c>
    </row>
    <row r="59" spans="1:18" ht="24" customHeight="1">
      <c r="A59" s="625" t="s">
        <v>166</v>
      </c>
      <c r="B59" s="1991" t="s">
        <v>656</v>
      </c>
      <c r="C59" s="1991"/>
      <c r="D59" s="1991"/>
      <c r="E59" s="1991"/>
      <c r="F59" s="1991"/>
      <c r="G59" s="1991"/>
      <c r="H59" s="1991"/>
      <c r="I59" s="1991"/>
      <c r="J59" s="1991"/>
      <c r="K59" s="1991"/>
      <c r="L59" s="626"/>
    </row>
    <row r="60" spans="1:18" ht="12.75" customHeight="1">
      <c r="A60" s="584" t="s">
        <v>169</v>
      </c>
      <c r="B60" s="1992" t="s">
        <v>657</v>
      </c>
      <c r="C60" s="1992"/>
      <c r="D60" s="1992"/>
      <c r="E60" s="1992"/>
      <c r="F60" s="1992"/>
      <c r="G60" s="1992"/>
      <c r="H60" s="1992"/>
      <c r="I60" s="1992"/>
      <c r="J60" s="1992"/>
      <c r="K60" s="1992"/>
      <c r="L60" s="1992"/>
    </row>
    <row r="61" spans="1:18" ht="43.5" customHeight="1">
      <c r="A61" s="625" t="s">
        <v>171</v>
      </c>
      <c r="B61" s="1991" t="s">
        <v>1111</v>
      </c>
      <c r="C61" s="1991"/>
      <c r="D61" s="1991"/>
      <c r="E61" s="1991"/>
      <c r="F61" s="1991"/>
      <c r="G61" s="1991"/>
      <c r="H61" s="1991"/>
      <c r="I61" s="1991"/>
      <c r="J61" s="1991"/>
      <c r="K61" s="1991"/>
      <c r="L61" s="626"/>
    </row>
    <row r="62" spans="1:18">
      <c r="A62" s="584" t="s">
        <v>658</v>
      </c>
      <c r="B62" s="627" t="s">
        <v>659</v>
      </c>
    </row>
    <row r="63" spans="1:18">
      <c r="A63" s="584" t="s">
        <v>577</v>
      </c>
      <c r="B63" s="580" t="s">
        <v>660</v>
      </c>
    </row>
    <row r="64" spans="1:18">
      <c r="A64" s="584" t="s">
        <v>578</v>
      </c>
      <c r="B64" s="580" t="s">
        <v>1164</v>
      </c>
    </row>
    <row r="65" spans="1:2">
      <c r="A65" s="970" t="s">
        <v>579</v>
      </c>
      <c r="B65" s="971" t="s">
        <v>1387</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10">
    <mergeCell ref="B59:K59"/>
    <mergeCell ref="B60:L60"/>
    <mergeCell ref="B61:K61"/>
    <mergeCell ref="C6:E6"/>
    <mergeCell ref="F6:H6"/>
    <mergeCell ref="C28:J28"/>
    <mergeCell ref="B53:L53"/>
    <mergeCell ref="B54:L54"/>
    <mergeCell ref="I6:J6"/>
    <mergeCell ref="K6:M6"/>
  </mergeCells>
  <pageMargins left="0.25" right="0.25" top="0.75" bottom="0.75" header="0.3" footer="0.3"/>
  <pageSetup scale="40" orientation="landscape" r:id="rId2"/>
  <rowBreaks count="1" manualBreakCount="1">
    <brk id="48" max="16383" man="1"/>
  </rowBreaks>
  <ignoredErrors>
    <ignoredError sqref="K24:M24"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view="pageBreakPreview" topLeftCell="A25" zoomScale="70" zoomScaleNormal="84" zoomScaleSheetLayoutView="70" workbookViewId="0">
      <selection sqref="A1:XFD1048576"/>
    </sheetView>
  </sheetViews>
  <sheetFormatPr defaultColWidth="11.453125" defaultRowHeight="13"/>
  <cols>
    <col min="1" max="1" width="6.26953125" style="579" customWidth="1"/>
    <col min="2" max="2" width="37.26953125" style="580" bestFit="1" customWidth="1"/>
    <col min="3" max="3" width="30.81640625" style="580" customWidth="1"/>
    <col min="4" max="4" width="32.81640625" style="580" customWidth="1"/>
    <col min="5" max="5" width="24.7265625" style="580" customWidth="1"/>
    <col min="6" max="6" width="20.54296875" style="580" customWidth="1"/>
    <col min="7" max="8" width="22.26953125" style="580" customWidth="1"/>
    <col min="9" max="9" width="23.453125" style="580" customWidth="1"/>
    <col min="10" max="10" width="23.1796875" style="580" customWidth="1"/>
    <col min="11" max="12" width="27.54296875" style="580" customWidth="1"/>
    <col min="13" max="13" width="26.1796875" style="580" customWidth="1"/>
    <col min="14" max="14" width="24.453125" style="580" customWidth="1"/>
    <col min="15" max="16" width="15.1796875" style="580" customWidth="1"/>
    <col min="17" max="17" width="20.26953125" style="580" customWidth="1"/>
    <col min="18" max="16384" width="11.453125" style="580"/>
  </cols>
  <sheetData>
    <row r="1" spans="1:16">
      <c r="C1" s="581"/>
      <c r="D1" s="581"/>
      <c r="E1" s="581"/>
      <c r="F1" s="581"/>
      <c r="I1" s="582" t="s">
        <v>674</v>
      </c>
      <c r="J1" s="581"/>
      <c r="K1" s="581"/>
      <c r="L1" s="581"/>
    </row>
    <row r="2" spans="1:16">
      <c r="A2" s="584"/>
      <c r="C2" s="581"/>
      <c r="D2" s="581"/>
      <c r="E2" s="581"/>
      <c r="F2" s="581"/>
      <c r="G2" s="581"/>
      <c r="H2" s="581"/>
      <c r="I2" s="585" t="s">
        <v>675</v>
      </c>
      <c r="J2" s="581"/>
      <c r="K2" s="581"/>
      <c r="L2" s="581"/>
      <c r="M2" s="581"/>
      <c r="O2" s="586"/>
    </row>
    <row r="3" spans="1:16">
      <c r="A3" s="584"/>
      <c r="C3" s="581"/>
      <c r="D3" s="581"/>
      <c r="E3" s="581"/>
      <c r="F3" s="581"/>
      <c r="G3" s="581"/>
      <c r="H3" s="581"/>
      <c r="I3" s="587" t="s">
        <v>176</v>
      </c>
      <c r="J3" s="581"/>
      <c r="K3" s="581"/>
      <c r="L3" s="581"/>
      <c r="M3" s="581"/>
    </row>
    <row r="4" spans="1:16">
      <c r="A4" s="584"/>
      <c r="C4" s="581"/>
      <c r="D4" s="581"/>
      <c r="E4" s="886"/>
      <c r="F4" s="581"/>
      <c r="G4" s="581"/>
      <c r="H4" s="581"/>
      <c r="I4" s="581"/>
      <c r="J4" s="581"/>
      <c r="K4" s="581"/>
      <c r="L4" s="581"/>
      <c r="M4" s="581"/>
      <c r="P4" s="904"/>
    </row>
    <row r="5" spans="1:16" ht="13.5" thickBot="1">
      <c r="A5" s="584"/>
      <c r="B5" s="588"/>
      <c r="C5" s="588"/>
      <c r="D5" s="588"/>
      <c r="E5" s="588"/>
      <c r="F5" s="588"/>
      <c r="G5" s="581"/>
      <c r="H5" s="581"/>
      <c r="I5" s="581"/>
      <c r="J5" s="581"/>
      <c r="K5" s="581"/>
      <c r="L5" s="581"/>
      <c r="M5" s="588"/>
    </row>
    <row r="6" spans="1:16" ht="13.5" thickBot="1">
      <c r="A6" s="584"/>
      <c r="B6" s="972" t="s">
        <v>965</v>
      </c>
      <c r="C6" s="2003" t="s">
        <v>1485</v>
      </c>
      <c r="D6" s="2006"/>
      <c r="E6" s="2006"/>
      <c r="F6" s="2007"/>
      <c r="G6" s="2003" t="s">
        <v>1509</v>
      </c>
      <c r="H6" s="2006"/>
      <c r="I6" s="2006"/>
      <c r="J6" s="2007"/>
      <c r="K6" s="2003" t="s">
        <v>1510</v>
      </c>
      <c r="L6" s="2006"/>
      <c r="M6" s="2006"/>
      <c r="N6" s="2007"/>
      <c r="P6" s="904"/>
    </row>
    <row r="7" spans="1:16" s="593" customFormat="1" ht="26">
      <c r="A7" s="590" t="s">
        <v>611</v>
      </c>
      <c r="B7" s="591" t="s">
        <v>211</v>
      </c>
      <c r="C7" s="591" t="s">
        <v>676</v>
      </c>
      <c r="D7" s="591" t="s">
        <v>274</v>
      </c>
      <c r="E7" s="591" t="s">
        <v>189</v>
      </c>
      <c r="F7" s="592" t="s">
        <v>612</v>
      </c>
      <c r="G7" s="591" t="s">
        <v>676</v>
      </c>
      <c r="H7" s="591" t="s">
        <v>274</v>
      </c>
      <c r="I7" s="591" t="s">
        <v>189</v>
      </c>
      <c r="J7" s="592" t="s">
        <v>612</v>
      </c>
      <c r="K7" s="591" t="s">
        <v>676</v>
      </c>
      <c r="L7" s="591" t="s">
        <v>274</v>
      </c>
      <c r="M7" s="591" t="s">
        <v>189</v>
      </c>
      <c r="N7" s="592" t="s">
        <v>612</v>
      </c>
      <c r="O7" s="581"/>
    </row>
    <row r="8" spans="1:16" s="595" customFormat="1">
      <c r="A8" s="584"/>
      <c r="B8" s="589" t="s">
        <v>617</v>
      </c>
      <c r="C8" s="589" t="s">
        <v>618</v>
      </c>
      <c r="D8" s="589" t="s">
        <v>619</v>
      </c>
      <c r="E8" s="591" t="s">
        <v>620</v>
      </c>
      <c r="F8" s="589" t="s">
        <v>621</v>
      </c>
      <c r="G8" s="589" t="s">
        <v>622</v>
      </c>
      <c r="H8" s="591" t="s">
        <v>623</v>
      </c>
      <c r="I8" s="589" t="s">
        <v>624</v>
      </c>
      <c r="J8" s="589" t="s">
        <v>625</v>
      </c>
      <c r="K8" s="591" t="s">
        <v>626</v>
      </c>
      <c r="L8" s="589" t="s">
        <v>627</v>
      </c>
      <c r="M8" s="591" t="s">
        <v>661</v>
      </c>
      <c r="N8" s="591" t="s">
        <v>909</v>
      </c>
      <c r="O8" s="581"/>
    </row>
    <row r="9" spans="1:16" s="595" customFormat="1">
      <c r="A9" s="584"/>
      <c r="B9" s="596" t="s">
        <v>680</v>
      </c>
      <c r="C9" s="585"/>
      <c r="D9" s="585"/>
      <c r="E9" s="585"/>
      <c r="F9" s="597"/>
      <c r="G9" s="585"/>
      <c r="H9" s="585"/>
      <c r="I9" s="585"/>
      <c r="J9" s="597"/>
      <c r="K9" s="585">
        <v>6</v>
      </c>
      <c r="L9" s="585"/>
      <c r="M9" s="585"/>
      <c r="N9" s="597"/>
      <c r="O9" s="581"/>
    </row>
    <row r="10" spans="1:16" s="595" customFormat="1" ht="104">
      <c r="A10" s="584"/>
      <c r="B10" s="589"/>
      <c r="C10" s="599" t="s">
        <v>1130</v>
      </c>
      <c r="D10" s="599" t="s">
        <v>1115</v>
      </c>
      <c r="E10" s="600" t="s">
        <v>1131</v>
      </c>
      <c r="F10" s="601" t="s">
        <v>630</v>
      </c>
      <c r="G10" s="599" t="s">
        <v>1132</v>
      </c>
      <c r="H10" s="599" t="s">
        <v>1114</v>
      </c>
      <c r="I10" s="600" t="s">
        <v>1133</v>
      </c>
      <c r="J10" s="601" t="s">
        <v>630</v>
      </c>
      <c r="K10" s="599" t="s">
        <v>1116</v>
      </c>
      <c r="L10" s="599" t="s">
        <v>1117</v>
      </c>
      <c r="M10" s="599" t="s">
        <v>1118</v>
      </c>
      <c r="N10" s="599" t="s">
        <v>1119</v>
      </c>
      <c r="O10" s="581"/>
    </row>
    <row r="11" spans="1:16">
      <c r="A11" s="584">
        <v>1</v>
      </c>
      <c r="B11" s="602" t="s">
        <v>633</v>
      </c>
      <c r="C11" s="603">
        <v>10618139780.650002</v>
      </c>
      <c r="D11" s="603">
        <v>1823195166</v>
      </c>
      <c r="E11" s="603">
        <v>593826441.52611256</v>
      </c>
      <c r="F11" s="603">
        <v>0</v>
      </c>
      <c r="G11" s="603">
        <v>18580276.439999994</v>
      </c>
      <c r="H11" s="603"/>
      <c r="I11" s="647">
        <v>1326965.6800000002</v>
      </c>
      <c r="J11" s="603">
        <v>0</v>
      </c>
      <c r="K11" s="603">
        <f>+C11-G11</f>
        <v>10599559504.210001</v>
      </c>
      <c r="L11" s="603">
        <f>+D11-H11</f>
        <v>1823195166</v>
      </c>
      <c r="M11" s="603">
        <f>+E11-I11</f>
        <v>592499475.84611261</v>
      </c>
      <c r="N11" s="603">
        <v>0</v>
      </c>
      <c r="P11" s="581"/>
    </row>
    <row r="12" spans="1:16">
      <c r="A12" s="584">
        <v>2</v>
      </c>
      <c r="B12" s="602" t="s">
        <v>634</v>
      </c>
      <c r="C12" s="647">
        <v>10659647334.870001</v>
      </c>
      <c r="D12" s="603">
        <v>1823500617.74</v>
      </c>
      <c r="E12" s="647">
        <v>562763221.50999999</v>
      </c>
      <c r="F12" s="603">
        <v>0</v>
      </c>
      <c r="G12" s="603">
        <v>18579630.659999996</v>
      </c>
      <c r="H12" s="603"/>
      <c r="I12" s="647">
        <v>1326965.6800000002</v>
      </c>
      <c r="J12" s="603">
        <v>0</v>
      </c>
      <c r="K12" s="603">
        <f t="shared" ref="K12:K23" si="0">+C12-G12</f>
        <v>10641067704.210001</v>
      </c>
      <c r="L12" s="603">
        <f t="shared" ref="L12:L23" si="1">+D12-H12</f>
        <v>1823500617.74</v>
      </c>
      <c r="M12" s="603">
        <f t="shared" ref="M12:M23" si="2">+E12-I12</f>
        <v>561436255.83000004</v>
      </c>
      <c r="N12" s="603">
        <f t="shared" ref="N12:N23" si="3">+F12-J12</f>
        <v>0</v>
      </c>
      <c r="O12" s="581"/>
      <c r="P12" s="581"/>
    </row>
    <row r="13" spans="1:16">
      <c r="A13" s="584">
        <v>3</v>
      </c>
      <c r="B13" s="581" t="s">
        <v>635</v>
      </c>
      <c r="C13" s="647">
        <v>10688185447.169998</v>
      </c>
      <c r="D13" s="603">
        <v>1824369325.6600001</v>
      </c>
      <c r="E13" s="647">
        <v>566977846.81000006</v>
      </c>
      <c r="F13" s="603">
        <v>0</v>
      </c>
      <c r="G13" s="603">
        <v>18442956.219999995</v>
      </c>
      <c r="H13" s="603"/>
      <c r="I13" s="647">
        <v>1326965.6800000002</v>
      </c>
      <c r="J13" s="603">
        <v>0</v>
      </c>
      <c r="K13" s="603">
        <f t="shared" si="0"/>
        <v>10669742490.949999</v>
      </c>
      <c r="L13" s="603">
        <f t="shared" si="1"/>
        <v>1824369325.6600001</v>
      </c>
      <c r="M13" s="603">
        <f t="shared" si="2"/>
        <v>565650881.13000011</v>
      </c>
      <c r="N13" s="603">
        <f t="shared" si="3"/>
        <v>0</v>
      </c>
      <c r="O13" s="581"/>
      <c r="P13" s="581"/>
    </row>
    <row r="14" spans="1:16">
      <c r="A14" s="584">
        <v>4</v>
      </c>
      <c r="B14" s="581" t="s">
        <v>636</v>
      </c>
      <c r="C14" s="647">
        <v>10743794270.080002</v>
      </c>
      <c r="D14" s="603">
        <v>1828041849.3700004</v>
      </c>
      <c r="E14" s="647">
        <v>594811987.70000017</v>
      </c>
      <c r="F14" s="603">
        <v>0</v>
      </c>
      <c r="G14" s="603">
        <v>18442956.219999995</v>
      </c>
      <c r="H14" s="603"/>
      <c r="I14" s="647">
        <v>1326965.6800000002</v>
      </c>
      <c r="J14" s="603">
        <v>0</v>
      </c>
      <c r="K14" s="603">
        <f t="shared" si="0"/>
        <v>10725351313.860003</v>
      </c>
      <c r="L14" s="603">
        <f t="shared" si="1"/>
        <v>1828041849.3700004</v>
      </c>
      <c r="M14" s="603">
        <f t="shared" si="2"/>
        <v>593485022.02000022</v>
      </c>
      <c r="N14" s="603">
        <f t="shared" si="3"/>
        <v>0</v>
      </c>
      <c r="O14" s="581"/>
      <c r="P14" s="581"/>
    </row>
    <row r="15" spans="1:16">
      <c r="A15" s="584">
        <v>5</v>
      </c>
      <c r="B15" s="581" t="s">
        <v>213</v>
      </c>
      <c r="C15" s="647">
        <v>10779928324.1</v>
      </c>
      <c r="D15" s="603">
        <v>1832410137.4799998</v>
      </c>
      <c r="E15" s="647">
        <v>597134669.8499999</v>
      </c>
      <c r="F15" s="603">
        <v>0</v>
      </c>
      <c r="G15" s="603">
        <v>18442956.219999995</v>
      </c>
      <c r="H15" s="603"/>
      <c r="I15" s="603">
        <v>1326965.6800000002</v>
      </c>
      <c r="J15" s="603">
        <v>0</v>
      </c>
      <c r="K15" s="603">
        <f t="shared" si="0"/>
        <v>10761485367.880001</v>
      </c>
      <c r="L15" s="603">
        <f t="shared" si="1"/>
        <v>1832410137.4799998</v>
      </c>
      <c r="M15" s="603">
        <f t="shared" si="2"/>
        <v>595807704.16999996</v>
      </c>
      <c r="N15" s="603">
        <f t="shared" si="3"/>
        <v>0</v>
      </c>
      <c r="O15" s="581"/>
      <c r="P15" s="581"/>
    </row>
    <row r="16" spans="1:16">
      <c r="A16" s="584">
        <v>6</v>
      </c>
      <c r="B16" s="581" t="s">
        <v>214</v>
      </c>
      <c r="C16" s="647">
        <v>10819592068.910002</v>
      </c>
      <c r="D16" s="603">
        <v>1833839697.6199999</v>
      </c>
      <c r="E16" s="647">
        <v>600387326.96999991</v>
      </c>
      <c r="F16" s="603">
        <v>0</v>
      </c>
      <c r="G16" s="603">
        <v>18442956.219999995</v>
      </c>
      <c r="H16" s="603"/>
      <c r="I16" s="603">
        <v>1326965.6800000002</v>
      </c>
      <c r="J16" s="603">
        <v>0</v>
      </c>
      <c r="K16" s="603">
        <f t="shared" si="0"/>
        <v>10801149112.690002</v>
      </c>
      <c r="L16" s="603">
        <f t="shared" si="1"/>
        <v>1833839697.6199999</v>
      </c>
      <c r="M16" s="603">
        <f t="shared" si="2"/>
        <v>599060361.28999996</v>
      </c>
      <c r="N16" s="603">
        <f t="shared" si="3"/>
        <v>0</v>
      </c>
      <c r="O16" s="581"/>
      <c r="P16" s="581"/>
    </row>
    <row r="17" spans="1:16">
      <c r="A17" s="584">
        <v>7</v>
      </c>
      <c r="B17" s="581" t="s">
        <v>215</v>
      </c>
      <c r="C17" s="647">
        <v>10837188592.219995</v>
      </c>
      <c r="D17" s="603">
        <v>1837531651.0699999</v>
      </c>
      <c r="E17" s="647">
        <v>602242937.94161725</v>
      </c>
      <c r="F17" s="603">
        <v>0</v>
      </c>
      <c r="G17" s="603">
        <v>18442956.219999995</v>
      </c>
      <c r="H17" s="603"/>
      <c r="I17" s="603">
        <v>1326965.6800000002</v>
      </c>
      <c r="J17" s="603">
        <v>0</v>
      </c>
      <c r="K17" s="603">
        <f t="shared" si="0"/>
        <v>10818745635.999996</v>
      </c>
      <c r="L17" s="603">
        <f t="shared" si="1"/>
        <v>1837531651.0699999</v>
      </c>
      <c r="M17" s="603">
        <f t="shared" si="2"/>
        <v>600915972.2616173</v>
      </c>
      <c r="N17" s="603">
        <f t="shared" si="3"/>
        <v>0</v>
      </c>
      <c r="O17" s="581"/>
      <c r="P17" s="581"/>
    </row>
    <row r="18" spans="1:16">
      <c r="A18" s="584">
        <v>8</v>
      </c>
      <c r="B18" s="581" t="s">
        <v>637</v>
      </c>
      <c r="C18" s="647">
        <v>10897879522.27</v>
      </c>
      <c r="D18" s="603">
        <v>1840499385.0100002</v>
      </c>
      <c r="E18" s="647">
        <v>604849151.55000007</v>
      </c>
      <c r="F18" s="603">
        <v>0</v>
      </c>
      <c r="G18" s="603">
        <v>18443683.499999996</v>
      </c>
      <c r="H18" s="603"/>
      <c r="I18" s="603">
        <v>1326965.6800000002</v>
      </c>
      <c r="J18" s="603">
        <v>0</v>
      </c>
      <c r="K18" s="603">
        <f t="shared" si="0"/>
        <v>10879435838.77</v>
      </c>
      <c r="L18" s="603">
        <f t="shared" si="1"/>
        <v>1840499385.0100002</v>
      </c>
      <c r="M18" s="603">
        <f t="shared" si="2"/>
        <v>603522185.87000012</v>
      </c>
      <c r="N18" s="603">
        <f t="shared" si="3"/>
        <v>0</v>
      </c>
      <c r="O18" s="581"/>
      <c r="P18" s="581"/>
    </row>
    <row r="19" spans="1:16">
      <c r="A19" s="584">
        <v>9</v>
      </c>
      <c r="B19" s="581" t="s">
        <v>638</v>
      </c>
      <c r="C19" s="647">
        <v>10921206651.459997</v>
      </c>
      <c r="D19" s="603">
        <v>1841124245.9699998</v>
      </c>
      <c r="E19" s="647">
        <v>606010860.63</v>
      </c>
      <c r="F19" s="603">
        <v>0</v>
      </c>
      <c r="G19" s="603">
        <v>18443467.859999996</v>
      </c>
      <c r="H19" s="603"/>
      <c r="I19" s="603">
        <v>1326965.6800000002</v>
      </c>
      <c r="J19" s="603">
        <v>0</v>
      </c>
      <c r="K19" s="603">
        <f t="shared" si="0"/>
        <v>10902763183.599997</v>
      </c>
      <c r="L19" s="603">
        <f t="shared" si="1"/>
        <v>1841124245.9699998</v>
      </c>
      <c r="M19" s="603">
        <f t="shared" si="2"/>
        <v>604683894.95000005</v>
      </c>
      <c r="N19" s="603">
        <f t="shared" si="3"/>
        <v>0</v>
      </c>
      <c r="O19" s="581"/>
      <c r="P19" s="581"/>
    </row>
    <row r="20" spans="1:16">
      <c r="A20" s="584">
        <v>10</v>
      </c>
      <c r="B20" s="581" t="s">
        <v>639</v>
      </c>
      <c r="C20" s="647">
        <v>10953225444.470001</v>
      </c>
      <c r="D20" s="603">
        <v>1848508280.0799997</v>
      </c>
      <c r="E20" s="647">
        <v>599465634.14635634</v>
      </c>
      <c r="F20" s="603">
        <v>0</v>
      </c>
      <c r="G20" s="603">
        <v>14045523.85</v>
      </c>
      <c r="H20" s="603"/>
      <c r="I20" s="603">
        <v>1650524.52</v>
      </c>
      <c r="J20" s="603">
        <v>0</v>
      </c>
      <c r="K20" s="603">
        <f t="shared" si="0"/>
        <v>10939179920.620001</v>
      </c>
      <c r="L20" s="603">
        <f t="shared" si="1"/>
        <v>1848508280.0799997</v>
      </c>
      <c r="M20" s="603">
        <f t="shared" si="2"/>
        <v>597815109.62635636</v>
      </c>
      <c r="N20" s="603">
        <f t="shared" si="3"/>
        <v>0</v>
      </c>
      <c r="O20" s="581"/>
      <c r="P20" s="581"/>
    </row>
    <row r="21" spans="1:16">
      <c r="A21" s="584">
        <v>11</v>
      </c>
      <c r="B21" s="581" t="s">
        <v>640</v>
      </c>
      <c r="C21" s="647">
        <v>11001674907.839996</v>
      </c>
      <c r="D21" s="603">
        <v>1850515510.47</v>
      </c>
      <c r="E21" s="647">
        <v>604961223.96999979</v>
      </c>
      <c r="F21" s="603">
        <v>0</v>
      </c>
      <c r="G21" s="603">
        <v>14045523.85</v>
      </c>
      <c r="H21" s="603"/>
      <c r="I21" s="603">
        <v>1650524.52</v>
      </c>
      <c r="J21" s="603">
        <v>0</v>
      </c>
      <c r="K21" s="603">
        <f t="shared" si="0"/>
        <v>10987629383.989996</v>
      </c>
      <c r="L21" s="603">
        <f t="shared" si="1"/>
        <v>1850515510.47</v>
      </c>
      <c r="M21" s="603">
        <f t="shared" si="2"/>
        <v>603310699.44999981</v>
      </c>
      <c r="N21" s="603">
        <f t="shared" si="3"/>
        <v>0</v>
      </c>
      <c r="O21" s="581"/>
      <c r="P21" s="581"/>
    </row>
    <row r="22" spans="1:16">
      <c r="A22" s="584">
        <v>12</v>
      </c>
      <c r="B22" s="581" t="s">
        <v>641</v>
      </c>
      <c r="C22" s="647">
        <v>11054630671.780001</v>
      </c>
      <c r="D22" s="603">
        <v>1853044250.1099994</v>
      </c>
      <c r="E22" s="647">
        <v>615734032.29999995</v>
      </c>
      <c r="F22" s="603">
        <v>0</v>
      </c>
      <c r="G22" s="603">
        <v>14045105.85</v>
      </c>
      <c r="H22" s="603"/>
      <c r="I22" s="603">
        <v>1650524.52</v>
      </c>
      <c r="J22" s="603">
        <v>0</v>
      </c>
      <c r="K22" s="603">
        <f t="shared" si="0"/>
        <v>11040585565.93</v>
      </c>
      <c r="L22" s="603">
        <f t="shared" si="1"/>
        <v>1853044250.1099994</v>
      </c>
      <c r="M22" s="603">
        <f t="shared" si="2"/>
        <v>614083507.77999997</v>
      </c>
      <c r="N22" s="603">
        <f t="shared" si="3"/>
        <v>0</v>
      </c>
      <c r="O22" s="581"/>
      <c r="P22" s="581"/>
    </row>
    <row r="23" spans="1:16">
      <c r="A23" s="584">
        <v>13</v>
      </c>
      <c r="B23" s="581" t="s">
        <v>642</v>
      </c>
      <c r="C23" s="603">
        <f>'5 - Cost Support 1'!$I$243</f>
        <v>11088620830</v>
      </c>
      <c r="D23" s="603">
        <f>'5 - Cost Support 1'!$I$246</f>
        <v>1864901730</v>
      </c>
      <c r="E23" s="603">
        <f>'5 - Cost Support 1'!$I$247</f>
        <v>620947371</v>
      </c>
      <c r="F23" s="603">
        <v>0</v>
      </c>
      <c r="G23" s="603">
        <v>14037631.310000001</v>
      </c>
      <c r="H23" s="603"/>
      <c r="I23" s="603">
        <v>1650524.52</v>
      </c>
      <c r="J23" s="603">
        <v>0</v>
      </c>
      <c r="K23" s="603">
        <f t="shared" si="0"/>
        <v>11074583198.690001</v>
      </c>
      <c r="L23" s="603">
        <f t="shared" si="1"/>
        <v>1864901730</v>
      </c>
      <c r="M23" s="603">
        <f t="shared" si="2"/>
        <v>619296846.48000002</v>
      </c>
      <c r="N23" s="603">
        <f t="shared" si="3"/>
        <v>0</v>
      </c>
      <c r="O23" s="581"/>
      <c r="P23" s="581"/>
    </row>
    <row r="24" spans="1:16" ht="13.5" thickBot="1">
      <c r="A24" s="584">
        <v>14</v>
      </c>
      <c r="B24" s="583" t="s">
        <v>643</v>
      </c>
      <c r="C24" s="605">
        <f t="shared" ref="C24:J24" si="4">SUM(C11:C23)/13</f>
        <v>10851054911.216923</v>
      </c>
      <c r="D24" s="605">
        <f t="shared" si="4"/>
        <v>1838575526.6599998</v>
      </c>
      <c r="E24" s="605">
        <f t="shared" si="4"/>
        <v>597700977.37723744</v>
      </c>
      <c r="F24" s="605">
        <f t="shared" si="4"/>
        <v>0</v>
      </c>
      <c r="G24" s="605">
        <f t="shared" si="4"/>
        <v>17110432.647692304</v>
      </c>
      <c r="H24" s="605">
        <f t="shared" si="4"/>
        <v>0</v>
      </c>
      <c r="I24" s="605">
        <f t="shared" si="4"/>
        <v>1426522.2461538462</v>
      </c>
      <c r="J24" s="605">
        <f t="shared" si="4"/>
        <v>0</v>
      </c>
      <c r="K24" s="605">
        <f t="shared" ref="K24:N24" si="5">SUM(K11:K23)/13</f>
        <v>10833944478.569231</v>
      </c>
      <c r="L24" s="605">
        <f t="shared" si="5"/>
        <v>1838575526.6599998</v>
      </c>
      <c r="M24" s="605">
        <f t="shared" si="5"/>
        <v>596274455.13108361</v>
      </c>
      <c r="N24" s="605">
        <f t="shared" si="5"/>
        <v>0</v>
      </c>
      <c r="O24" s="581"/>
    </row>
    <row r="25" spans="1:16" ht="14" thickTop="1" thickBot="1">
      <c r="A25" s="584"/>
      <c r="B25" s="581"/>
      <c r="C25" s="606"/>
      <c r="D25" s="606"/>
      <c r="E25" s="607"/>
      <c r="F25" s="607"/>
      <c r="G25" s="581"/>
      <c r="H25" s="581"/>
      <c r="I25" s="606"/>
      <c r="J25" s="606"/>
      <c r="K25" s="606"/>
      <c r="L25" s="606"/>
    </row>
    <row r="26" spans="1:16" s="858" customFormat="1" ht="15" thickBot="1">
      <c r="A26" s="857"/>
      <c r="B26" s="588"/>
      <c r="C26" s="2003" t="s">
        <v>1511</v>
      </c>
      <c r="D26" s="2006"/>
      <c r="E26" s="2006"/>
      <c r="F26" s="2006"/>
      <c r="G26" s="2008"/>
      <c r="H26" s="2005"/>
      <c r="I26" s="2003" t="s">
        <v>1509</v>
      </c>
      <c r="J26" s="2008"/>
      <c r="K26" s="2008"/>
      <c r="L26" s="2008"/>
      <c r="M26" s="2008"/>
      <c r="N26" s="2005"/>
    </row>
    <row r="27" spans="1:16" s="593" customFormat="1" ht="26">
      <c r="A27" s="590" t="s">
        <v>611</v>
      </c>
      <c r="B27" s="591" t="s">
        <v>211</v>
      </c>
      <c r="C27" s="591" t="s">
        <v>676</v>
      </c>
      <c r="D27" s="591" t="s">
        <v>274</v>
      </c>
      <c r="E27" s="591" t="s">
        <v>950</v>
      </c>
      <c r="F27" s="592" t="s">
        <v>951</v>
      </c>
      <c r="G27" s="592" t="s">
        <v>952</v>
      </c>
      <c r="H27" s="592" t="s">
        <v>953</v>
      </c>
      <c r="I27" s="591" t="s">
        <v>676</v>
      </c>
      <c r="J27" s="591" t="s">
        <v>274</v>
      </c>
      <c r="K27" s="591" t="s">
        <v>950</v>
      </c>
      <c r="L27" s="592" t="s">
        <v>951</v>
      </c>
      <c r="M27" s="592" t="s">
        <v>952</v>
      </c>
      <c r="N27" s="592" t="s">
        <v>953</v>
      </c>
    </row>
    <row r="28" spans="1:16" s="595" customFormat="1">
      <c r="A28" s="584"/>
      <c r="B28" s="589" t="s">
        <v>617</v>
      </c>
      <c r="C28" s="589" t="s">
        <v>618</v>
      </c>
      <c r="D28" s="589" t="s">
        <v>619</v>
      </c>
      <c r="E28" s="591" t="s">
        <v>620</v>
      </c>
      <c r="F28" s="589" t="s">
        <v>621</v>
      </c>
      <c r="G28" s="589" t="s">
        <v>622</v>
      </c>
      <c r="H28" s="591" t="s">
        <v>623</v>
      </c>
      <c r="I28" s="589" t="s">
        <v>624</v>
      </c>
      <c r="J28" s="589" t="s">
        <v>625</v>
      </c>
      <c r="K28" s="591" t="s">
        <v>626</v>
      </c>
      <c r="L28" s="589" t="s">
        <v>627</v>
      </c>
      <c r="M28" s="591" t="s">
        <v>661</v>
      </c>
      <c r="N28" s="591" t="s">
        <v>909</v>
      </c>
      <c r="O28" s="581"/>
    </row>
    <row r="29" spans="1:16" s="595" customFormat="1">
      <c r="A29" s="584"/>
      <c r="B29" s="596" t="s">
        <v>680</v>
      </c>
      <c r="C29" s="897"/>
      <c r="D29" s="585"/>
      <c r="E29" s="585"/>
      <c r="G29" s="597"/>
      <c r="H29" s="597"/>
      <c r="I29" s="585"/>
      <c r="J29" s="585"/>
      <c r="K29" s="585"/>
      <c r="L29" s="597"/>
    </row>
    <row r="30" spans="1:16" s="595" customFormat="1" ht="65">
      <c r="A30" s="584"/>
      <c r="B30" s="589"/>
      <c r="C30" s="599" t="s">
        <v>1121</v>
      </c>
      <c r="D30" s="599" t="s">
        <v>1120</v>
      </c>
      <c r="E30" s="600" t="s">
        <v>1122</v>
      </c>
      <c r="F30" s="887" t="s">
        <v>1123</v>
      </c>
      <c r="G30" s="601" t="s">
        <v>630</v>
      </c>
      <c r="H30" s="601" t="s">
        <v>630</v>
      </c>
      <c r="I30" s="599" t="s">
        <v>1121</v>
      </c>
      <c r="J30" s="599" t="s">
        <v>1120</v>
      </c>
      <c r="K30" s="600" t="s">
        <v>1122</v>
      </c>
      <c r="L30" s="887" t="s">
        <v>1123</v>
      </c>
      <c r="M30" s="601" t="s">
        <v>630</v>
      </c>
      <c r="N30" s="601" t="s">
        <v>630</v>
      </c>
    </row>
    <row r="31" spans="1:16">
      <c r="A31" s="584">
        <v>15</v>
      </c>
      <c r="B31" s="602" t="s">
        <v>633</v>
      </c>
      <c r="C31" s="647">
        <v>3523143187</v>
      </c>
      <c r="D31" s="603">
        <v>586191745</v>
      </c>
      <c r="E31" s="603">
        <v>145498024</v>
      </c>
      <c r="F31" s="647">
        <v>65608282</v>
      </c>
      <c r="G31" s="603">
        <v>0</v>
      </c>
      <c r="H31" s="603">
        <v>0</v>
      </c>
      <c r="I31" s="603">
        <v>2404725.7400000002</v>
      </c>
      <c r="J31" s="603"/>
      <c r="K31" s="603">
        <v>85792.41</v>
      </c>
      <c r="L31" s="603"/>
      <c r="M31" s="603">
        <v>0</v>
      </c>
      <c r="N31" s="603">
        <v>0</v>
      </c>
      <c r="P31" s="581"/>
    </row>
    <row r="32" spans="1:16">
      <c r="A32" s="584">
        <v>16</v>
      </c>
      <c r="B32" s="602" t="s">
        <v>634</v>
      </c>
      <c r="C32" s="647">
        <v>3535579997.73</v>
      </c>
      <c r="D32" s="647">
        <v>589653670</v>
      </c>
      <c r="E32" s="647">
        <v>138619380.00999999</v>
      </c>
      <c r="F32" s="647">
        <v>68054953.25</v>
      </c>
      <c r="G32" s="603">
        <v>0</v>
      </c>
      <c r="H32" s="603">
        <v>0</v>
      </c>
      <c r="I32" s="603">
        <v>2496453.6900000004</v>
      </c>
      <c r="J32" s="603"/>
      <c r="K32" s="603">
        <v>123382.26</v>
      </c>
      <c r="L32" s="603"/>
      <c r="M32" s="603">
        <v>0</v>
      </c>
      <c r="N32" s="603">
        <v>0</v>
      </c>
      <c r="P32" s="581"/>
    </row>
    <row r="33" spans="1:16">
      <c r="A33" s="584">
        <v>17</v>
      </c>
      <c r="B33" s="581" t="s">
        <v>635</v>
      </c>
      <c r="C33" s="647">
        <v>3554147841</v>
      </c>
      <c r="D33" s="647">
        <v>591841993</v>
      </c>
      <c r="E33" s="647">
        <v>140635150.38000003</v>
      </c>
      <c r="F33" s="647">
        <v>70488586.730000004</v>
      </c>
      <c r="G33" s="603">
        <v>0</v>
      </c>
      <c r="H33" s="603">
        <v>0</v>
      </c>
      <c r="I33" s="603">
        <v>2452153.0399999996</v>
      </c>
      <c r="J33" s="603"/>
      <c r="K33" s="603">
        <v>160972.11000000002</v>
      </c>
      <c r="L33" s="603"/>
      <c r="M33" s="603">
        <v>0</v>
      </c>
      <c r="N33" s="603">
        <v>0</v>
      </c>
      <c r="P33" s="581"/>
    </row>
    <row r="34" spans="1:16">
      <c r="A34" s="584">
        <v>18</v>
      </c>
      <c r="B34" s="581" t="s">
        <v>636</v>
      </c>
      <c r="C34" s="647">
        <v>3576136252.7199998</v>
      </c>
      <c r="D34" s="647">
        <v>592875173</v>
      </c>
      <c r="E34" s="647">
        <v>141392848.70000002</v>
      </c>
      <c r="F34" s="647">
        <v>73545260.260000005</v>
      </c>
      <c r="G34" s="603">
        <v>0</v>
      </c>
      <c r="H34" s="603">
        <v>0</v>
      </c>
      <c r="I34" s="603">
        <v>2544526.8299999996</v>
      </c>
      <c r="J34" s="603"/>
      <c r="K34" s="603">
        <v>198561.96</v>
      </c>
      <c r="L34" s="603"/>
      <c r="M34" s="603">
        <v>0</v>
      </c>
      <c r="N34" s="603">
        <v>0</v>
      </c>
      <c r="P34" s="581"/>
    </row>
    <row r="35" spans="1:16">
      <c r="A35" s="584">
        <v>19</v>
      </c>
      <c r="B35" s="581" t="s">
        <v>213</v>
      </c>
      <c r="C35" s="647">
        <v>3582415798.1700001</v>
      </c>
      <c r="D35" s="647">
        <v>595827449</v>
      </c>
      <c r="E35" s="647">
        <v>142968859.06999999</v>
      </c>
      <c r="F35" s="647">
        <v>76431799.739999995</v>
      </c>
      <c r="G35" s="603">
        <v>0</v>
      </c>
      <c r="H35" s="603">
        <v>0</v>
      </c>
      <c r="I35" s="603">
        <v>2636900.5599999996</v>
      </c>
      <c r="J35" s="603"/>
      <c r="K35" s="603">
        <v>236151.81</v>
      </c>
      <c r="L35" s="603"/>
      <c r="M35" s="603">
        <v>0</v>
      </c>
      <c r="N35" s="603">
        <v>0</v>
      </c>
      <c r="P35" s="581"/>
    </row>
    <row r="36" spans="1:16" ht="13.5" customHeight="1">
      <c r="A36" s="584">
        <v>20</v>
      </c>
      <c r="B36" s="581" t="s">
        <v>214</v>
      </c>
      <c r="C36" s="647">
        <v>3594814264.7700005</v>
      </c>
      <c r="D36" s="647">
        <v>598166039</v>
      </c>
      <c r="E36" s="647">
        <v>144483310.38999999</v>
      </c>
      <c r="F36" s="647">
        <v>79326054.269999996</v>
      </c>
      <c r="G36" s="603">
        <v>0</v>
      </c>
      <c r="H36" s="603">
        <v>0</v>
      </c>
      <c r="I36" s="603">
        <v>2729274.2800000003</v>
      </c>
      <c r="J36" s="603"/>
      <c r="K36" s="603">
        <v>273741.65999999997</v>
      </c>
      <c r="L36" s="603"/>
      <c r="M36" s="603">
        <v>0</v>
      </c>
      <c r="N36" s="603">
        <v>0</v>
      </c>
      <c r="P36" s="581"/>
    </row>
    <row r="37" spans="1:16">
      <c r="A37" s="584">
        <v>21</v>
      </c>
      <c r="B37" s="581" t="s">
        <v>215</v>
      </c>
      <c r="C37" s="647">
        <v>3612135972.6500001</v>
      </c>
      <c r="D37" s="647">
        <v>600198993</v>
      </c>
      <c r="E37" s="647">
        <v>145480880.75999999</v>
      </c>
      <c r="F37" s="647">
        <v>81887009.75</v>
      </c>
      <c r="G37" s="603">
        <v>0</v>
      </c>
      <c r="H37" s="603">
        <v>0</v>
      </c>
      <c r="I37" s="603">
        <v>2821648.0399999996</v>
      </c>
      <c r="J37" s="603"/>
      <c r="K37" s="603">
        <v>311331.51</v>
      </c>
      <c r="L37" s="603"/>
      <c r="M37" s="603">
        <v>0</v>
      </c>
      <c r="N37" s="603">
        <v>0</v>
      </c>
      <c r="P37" s="581"/>
    </row>
    <row r="38" spans="1:16">
      <c r="A38" s="584">
        <v>22</v>
      </c>
      <c r="B38" s="581" t="s">
        <v>637</v>
      </c>
      <c r="C38" s="647">
        <v>3624726181.4799995</v>
      </c>
      <c r="D38" s="647">
        <v>602628421</v>
      </c>
      <c r="E38" s="647">
        <v>147148295.08000001</v>
      </c>
      <c r="F38" s="647">
        <v>84780792.280000001</v>
      </c>
      <c r="G38" s="603">
        <v>0</v>
      </c>
      <c r="H38" s="603">
        <v>0</v>
      </c>
      <c r="I38" s="603">
        <v>2914749.0400000005</v>
      </c>
      <c r="J38" s="603"/>
      <c r="K38" s="603">
        <v>348921.36000000004</v>
      </c>
      <c r="L38" s="603"/>
      <c r="M38" s="603">
        <v>0</v>
      </c>
      <c r="N38" s="603">
        <v>0</v>
      </c>
      <c r="P38" s="581"/>
    </row>
    <row r="39" spans="1:16">
      <c r="A39" s="584">
        <v>23</v>
      </c>
      <c r="B39" s="581" t="s">
        <v>638</v>
      </c>
      <c r="C39" s="647">
        <v>3635469436.5699997</v>
      </c>
      <c r="D39" s="647">
        <v>600599154</v>
      </c>
      <c r="E39" s="647">
        <v>148987154.45000002</v>
      </c>
      <c r="F39" s="647">
        <v>87679955.760000005</v>
      </c>
      <c r="G39" s="603">
        <v>0</v>
      </c>
      <c r="H39" s="603">
        <v>0</v>
      </c>
      <c r="I39" s="603">
        <v>3006907.1099999994</v>
      </c>
      <c r="J39" s="603"/>
      <c r="K39" s="603">
        <v>386511.21</v>
      </c>
      <c r="L39" s="603"/>
      <c r="M39" s="603">
        <v>0</v>
      </c>
      <c r="N39" s="603">
        <v>0</v>
      </c>
      <c r="P39" s="581"/>
    </row>
    <row r="40" spans="1:16">
      <c r="A40" s="584">
        <v>24</v>
      </c>
      <c r="B40" s="581" t="s">
        <v>639</v>
      </c>
      <c r="C40" s="647">
        <v>3645202966.9399996</v>
      </c>
      <c r="D40" s="647">
        <v>601327792</v>
      </c>
      <c r="E40" s="647">
        <v>145595604.90000001</v>
      </c>
      <c r="F40" s="647">
        <v>90615894.710000008</v>
      </c>
      <c r="G40" s="603">
        <v>0</v>
      </c>
      <c r="H40" s="603">
        <v>0</v>
      </c>
      <c r="I40" s="603">
        <v>3064246.91</v>
      </c>
      <c r="J40" s="603"/>
      <c r="K40" s="603">
        <v>404844.61</v>
      </c>
      <c r="L40" s="603"/>
      <c r="M40" s="603">
        <v>0</v>
      </c>
      <c r="N40" s="603">
        <v>0</v>
      </c>
      <c r="P40" s="581"/>
    </row>
    <row r="41" spans="1:16">
      <c r="A41" s="584">
        <v>25</v>
      </c>
      <c r="B41" s="581" t="s">
        <v>640</v>
      </c>
      <c r="C41" s="647">
        <v>3658681908.6199999</v>
      </c>
      <c r="D41" s="647">
        <v>603028493</v>
      </c>
      <c r="E41" s="647">
        <v>147396313.22999999</v>
      </c>
      <c r="F41" s="647">
        <v>93602758.189999998</v>
      </c>
      <c r="G41" s="603">
        <v>0</v>
      </c>
      <c r="H41" s="603">
        <v>0</v>
      </c>
      <c r="I41" s="603">
        <v>3114332.81</v>
      </c>
      <c r="J41" s="603"/>
      <c r="K41" s="603">
        <v>423378.42</v>
      </c>
      <c r="L41" s="603"/>
      <c r="M41" s="603">
        <v>0</v>
      </c>
      <c r="N41" s="603">
        <v>0</v>
      </c>
      <c r="P41" s="581"/>
    </row>
    <row r="42" spans="1:16">
      <c r="A42" s="584">
        <v>26</v>
      </c>
      <c r="B42" s="581" t="s">
        <v>641</v>
      </c>
      <c r="C42" s="647">
        <v>3675863071.77</v>
      </c>
      <c r="D42" s="647">
        <v>604593628</v>
      </c>
      <c r="E42" s="647">
        <v>149052027.98999998</v>
      </c>
      <c r="F42" s="647">
        <v>96615485.239999995</v>
      </c>
      <c r="G42" s="603">
        <v>0</v>
      </c>
      <c r="H42" s="603">
        <v>0</v>
      </c>
      <c r="I42" s="603">
        <v>3164000.7</v>
      </c>
      <c r="J42" s="603"/>
      <c r="K42" s="603">
        <v>441912.23</v>
      </c>
      <c r="L42" s="603"/>
      <c r="M42" s="603">
        <v>0</v>
      </c>
      <c r="N42" s="603">
        <v>0</v>
      </c>
      <c r="P42" s="581"/>
    </row>
    <row r="43" spans="1:16">
      <c r="A43" s="584">
        <v>27</v>
      </c>
      <c r="B43" s="581" t="s">
        <v>642</v>
      </c>
      <c r="C43" s="647">
        <f>'5 - Cost Support 1'!$I$244</f>
        <v>3681441331</v>
      </c>
      <c r="D43" s="603">
        <v>605660281</v>
      </c>
      <c r="E43" s="603">
        <f>'5 - Cost Support 1'!$I$248</f>
        <v>146158753</v>
      </c>
      <c r="F43" s="647">
        <f>'5 - Cost Support 1'!$I$245</f>
        <v>99641134</v>
      </c>
      <c r="G43" s="603">
        <v>0</v>
      </c>
      <c r="H43" s="603">
        <v>0</v>
      </c>
      <c r="I43" s="603">
        <v>3206612.0600000005</v>
      </c>
      <c r="J43" s="603"/>
      <c r="K43" s="603">
        <v>460446.04000000004</v>
      </c>
      <c r="L43" s="603"/>
      <c r="M43" s="603">
        <v>0</v>
      </c>
      <c r="N43" s="603">
        <v>0</v>
      </c>
      <c r="P43" s="581"/>
    </row>
    <row r="44" spans="1:16" ht="13.5" thickBot="1">
      <c r="A44" s="584">
        <v>28</v>
      </c>
      <c r="B44" s="583" t="s">
        <v>643</v>
      </c>
      <c r="C44" s="605">
        <f t="shared" ref="C44:L44" si="6">SUM(C31:C43)/13</f>
        <v>3607673708.4938459</v>
      </c>
      <c r="D44" s="605">
        <f t="shared" si="6"/>
        <v>597891756.23076928</v>
      </c>
      <c r="E44" s="605">
        <f t="shared" si="6"/>
        <v>144878200.15076926</v>
      </c>
      <c r="F44" s="605">
        <f t="shared" si="6"/>
        <v>82175228.167692319</v>
      </c>
      <c r="G44" s="605">
        <f t="shared" si="6"/>
        <v>0</v>
      </c>
      <c r="H44" s="605">
        <f t="shared" si="6"/>
        <v>0</v>
      </c>
      <c r="I44" s="605">
        <f t="shared" si="6"/>
        <v>2812040.8315384611</v>
      </c>
      <c r="J44" s="605">
        <f t="shared" si="6"/>
        <v>0</v>
      </c>
      <c r="K44" s="605">
        <f t="shared" si="6"/>
        <v>296611.35307692306</v>
      </c>
      <c r="L44" s="605">
        <f t="shared" si="6"/>
        <v>0</v>
      </c>
      <c r="M44" s="605">
        <f t="shared" ref="M44:N44" si="7">SUM(M31:M43)/13</f>
        <v>0</v>
      </c>
      <c r="N44" s="605">
        <f t="shared" si="7"/>
        <v>0</v>
      </c>
    </row>
    <row r="45" spans="1:16" ht="14" thickTop="1" thickBot="1"/>
    <row r="46" spans="1:16" s="858" customFormat="1" ht="15" thickBot="1">
      <c r="A46" s="859"/>
      <c r="C46" s="2003" t="s">
        <v>1008</v>
      </c>
      <c r="D46" s="2004"/>
      <c r="E46" s="2004"/>
      <c r="F46" s="2004"/>
      <c r="G46" s="2004"/>
      <c r="H46" s="2005"/>
    </row>
    <row r="47" spans="1:16" ht="26">
      <c r="A47" s="860" t="s">
        <v>611</v>
      </c>
      <c r="B47" s="591" t="s">
        <v>211</v>
      </c>
      <c r="C47" s="591" t="s">
        <v>676</v>
      </c>
      <c r="D47" s="591" t="s">
        <v>274</v>
      </c>
      <c r="E47" s="591" t="s">
        <v>192</v>
      </c>
      <c r="F47" s="591" t="s">
        <v>476</v>
      </c>
      <c r="G47" s="862" t="s">
        <v>954</v>
      </c>
      <c r="H47" s="862" t="s">
        <v>955</v>
      </c>
    </row>
    <row r="48" spans="1:16">
      <c r="A48" s="857"/>
      <c r="B48" s="589" t="s">
        <v>617</v>
      </c>
      <c r="C48" s="589" t="s">
        <v>618</v>
      </c>
      <c r="D48" s="589" t="s">
        <v>619</v>
      </c>
      <c r="E48" s="591" t="s">
        <v>620</v>
      </c>
      <c r="F48" s="589" t="s">
        <v>621</v>
      </c>
      <c r="G48" s="589" t="s">
        <v>622</v>
      </c>
      <c r="H48" s="591" t="s">
        <v>623</v>
      </c>
    </row>
    <row r="49" spans="1:8">
      <c r="A49" s="857"/>
      <c r="B49" s="861" t="s">
        <v>680</v>
      </c>
      <c r="C49" s="585">
        <v>9</v>
      </c>
      <c r="D49" s="585">
        <v>30</v>
      </c>
      <c r="E49" s="585">
        <v>31</v>
      </c>
      <c r="F49" s="585">
        <v>32</v>
      </c>
      <c r="G49" s="585">
        <v>12</v>
      </c>
      <c r="H49" s="585">
        <v>11</v>
      </c>
    </row>
    <row r="50" spans="1:8">
      <c r="A50" s="857"/>
      <c r="B50" s="589"/>
      <c r="C50" s="599" t="s">
        <v>1124</v>
      </c>
      <c r="D50" s="599" t="s">
        <v>1125</v>
      </c>
      <c r="E50" s="599" t="s">
        <v>1126</v>
      </c>
      <c r="F50" s="599" t="s">
        <v>1127</v>
      </c>
      <c r="G50" s="599" t="s">
        <v>1129</v>
      </c>
      <c r="H50" s="599" t="s">
        <v>1128</v>
      </c>
    </row>
    <row r="51" spans="1:8">
      <c r="A51" s="857">
        <v>29</v>
      </c>
      <c r="B51" s="602" t="s">
        <v>633</v>
      </c>
      <c r="C51" s="603">
        <f t="shared" ref="C51:C63" si="8">+C31-I31</f>
        <v>3520738461.2600002</v>
      </c>
      <c r="D51" s="603">
        <f t="shared" ref="D51:D63" si="9">+D31-J31</f>
        <v>586191745</v>
      </c>
      <c r="E51" s="603">
        <f>+E31-K31</f>
        <v>145412231.59</v>
      </c>
      <c r="F51" s="603">
        <f t="shared" ref="F51:F63" si="10">+F31-L31</f>
        <v>65608282</v>
      </c>
      <c r="G51" s="603">
        <v>0</v>
      </c>
      <c r="H51" s="603">
        <v>0</v>
      </c>
    </row>
    <row r="52" spans="1:8">
      <c r="A52" s="857">
        <v>30</v>
      </c>
      <c r="B52" s="602" t="s">
        <v>634</v>
      </c>
      <c r="C52" s="603">
        <f t="shared" si="8"/>
        <v>3533083544.04</v>
      </c>
      <c r="D52" s="603">
        <f t="shared" si="9"/>
        <v>589653670</v>
      </c>
      <c r="E52" s="603">
        <f t="shared" ref="E52:E63" si="11">+E32-K32</f>
        <v>138495997.75</v>
      </c>
      <c r="F52" s="603">
        <f t="shared" si="10"/>
        <v>68054953.25</v>
      </c>
      <c r="G52" s="603">
        <f t="shared" ref="G52:H62" si="12">+G32-M32</f>
        <v>0</v>
      </c>
      <c r="H52" s="603">
        <f t="shared" si="12"/>
        <v>0</v>
      </c>
    </row>
    <row r="53" spans="1:8">
      <c r="A53" s="857">
        <v>31</v>
      </c>
      <c r="B53" s="581" t="s">
        <v>635</v>
      </c>
      <c r="C53" s="603">
        <f t="shared" si="8"/>
        <v>3551695687.96</v>
      </c>
      <c r="D53" s="603">
        <f t="shared" si="9"/>
        <v>591841993</v>
      </c>
      <c r="E53" s="603">
        <f t="shared" si="11"/>
        <v>140474178.27000001</v>
      </c>
      <c r="F53" s="603">
        <f t="shared" si="10"/>
        <v>70488586.730000004</v>
      </c>
      <c r="G53" s="603">
        <f t="shared" si="12"/>
        <v>0</v>
      </c>
      <c r="H53" s="603">
        <f t="shared" si="12"/>
        <v>0</v>
      </c>
    </row>
    <row r="54" spans="1:8">
      <c r="A54" s="857">
        <v>32</v>
      </c>
      <c r="B54" s="581" t="s">
        <v>636</v>
      </c>
      <c r="C54" s="603">
        <f t="shared" si="8"/>
        <v>3573591725.8899999</v>
      </c>
      <c r="D54" s="603">
        <f t="shared" si="9"/>
        <v>592875173</v>
      </c>
      <c r="E54" s="603">
        <f t="shared" si="11"/>
        <v>141194286.74000001</v>
      </c>
      <c r="F54" s="603">
        <f t="shared" si="10"/>
        <v>73545260.260000005</v>
      </c>
      <c r="G54" s="603">
        <f t="shared" si="12"/>
        <v>0</v>
      </c>
      <c r="H54" s="603">
        <f t="shared" si="12"/>
        <v>0</v>
      </c>
    </row>
    <row r="55" spans="1:8">
      <c r="A55" s="857">
        <v>33</v>
      </c>
      <c r="B55" s="581" t="s">
        <v>213</v>
      </c>
      <c r="C55" s="603">
        <f t="shared" si="8"/>
        <v>3579778897.6100001</v>
      </c>
      <c r="D55" s="603">
        <f t="shared" si="9"/>
        <v>595827449</v>
      </c>
      <c r="E55" s="603">
        <f t="shared" si="11"/>
        <v>142732707.25999999</v>
      </c>
      <c r="F55" s="603">
        <f t="shared" si="10"/>
        <v>76431799.739999995</v>
      </c>
      <c r="G55" s="603">
        <f t="shared" si="12"/>
        <v>0</v>
      </c>
      <c r="H55" s="603">
        <f t="shared" si="12"/>
        <v>0</v>
      </c>
    </row>
    <row r="56" spans="1:8">
      <c r="A56" s="857">
        <v>34</v>
      </c>
      <c r="B56" s="581" t="s">
        <v>214</v>
      </c>
      <c r="C56" s="603">
        <f t="shared" si="8"/>
        <v>3592084990.4900002</v>
      </c>
      <c r="D56" s="603">
        <f t="shared" si="9"/>
        <v>598166039</v>
      </c>
      <c r="E56" s="603">
        <f t="shared" si="11"/>
        <v>144209568.72999999</v>
      </c>
      <c r="F56" s="603">
        <f t="shared" si="10"/>
        <v>79326054.269999996</v>
      </c>
      <c r="G56" s="603">
        <f t="shared" si="12"/>
        <v>0</v>
      </c>
      <c r="H56" s="603">
        <f t="shared" si="12"/>
        <v>0</v>
      </c>
    </row>
    <row r="57" spans="1:8">
      <c r="A57" s="857">
        <v>35</v>
      </c>
      <c r="B57" s="581" t="s">
        <v>215</v>
      </c>
      <c r="C57" s="603">
        <f t="shared" si="8"/>
        <v>3609314324.6100001</v>
      </c>
      <c r="D57" s="603">
        <f t="shared" si="9"/>
        <v>600198993</v>
      </c>
      <c r="E57" s="603">
        <f t="shared" si="11"/>
        <v>145169549.25</v>
      </c>
      <c r="F57" s="603">
        <f t="shared" si="10"/>
        <v>81887009.75</v>
      </c>
      <c r="G57" s="603">
        <f t="shared" si="12"/>
        <v>0</v>
      </c>
      <c r="H57" s="603">
        <f t="shared" si="12"/>
        <v>0</v>
      </c>
    </row>
    <row r="58" spans="1:8">
      <c r="A58" s="857">
        <v>36</v>
      </c>
      <c r="B58" s="581" t="s">
        <v>637</v>
      </c>
      <c r="C58" s="603">
        <f t="shared" si="8"/>
        <v>3621811432.4399996</v>
      </c>
      <c r="D58" s="603">
        <f t="shared" si="9"/>
        <v>602628421</v>
      </c>
      <c r="E58" s="603">
        <f>+E38-K38</f>
        <v>146799373.72</v>
      </c>
      <c r="F58" s="603">
        <f t="shared" si="10"/>
        <v>84780792.280000001</v>
      </c>
      <c r="G58" s="603">
        <f t="shared" si="12"/>
        <v>0</v>
      </c>
      <c r="H58" s="603">
        <f t="shared" si="12"/>
        <v>0</v>
      </c>
    </row>
    <row r="59" spans="1:8">
      <c r="A59" s="857">
        <v>37</v>
      </c>
      <c r="B59" s="581" t="s">
        <v>638</v>
      </c>
      <c r="C59" s="603">
        <f t="shared" si="8"/>
        <v>3632462529.4599996</v>
      </c>
      <c r="D59" s="603">
        <f t="shared" si="9"/>
        <v>600599154</v>
      </c>
      <c r="E59" s="603">
        <f>+E39-K39</f>
        <v>148600643.24000001</v>
      </c>
      <c r="F59" s="603">
        <f t="shared" si="10"/>
        <v>87679955.760000005</v>
      </c>
      <c r="G59" s="603">
        <f t="shared" si="12"/>
        <v>0</v>
      </c>
      <c r="H59" s="603">
        <f t="shared" si="12"/>
        <v>0</v>
      </c>
    </row>
    <row r="60" spans="1:8">
      <c r="A60" s="857">
        <v>38</v>
      </c>
      <c r="B60" s="581" t="s">
        <v>639</v>
      </c>
      <c r="C60" s="603">
        <f t="shared" si="8"/>
        <v>3642138720.0299997</v>
      </c>
      <c r="D60" s="603">
        <f t="shared" si="9"/>
        <v>601327792</v>
      </c>
      <c r="E60" s="603">
        <f>+E40-K40</f>
        <v>145190760.28999999</v>
      </c>
      <c r="F60" s="603">
        <f t="shared" si="10"/>
        <v>90615894.710000008</v>
      </c>
      <c r="G60" s="603">
        <f t="shared" si="12"/>
        <v>0</v>
      </c>
      <c r="H60" s="603">
        <f t="shared" si="12"/>
        <v>0</v>
      </c>
    </row>
    <row r="61" spans="1:8">
      <c r="A61" s="857">
        <v>39</v>
      </c>
      <c r="B61" s="581" t="s">
        <v>640</v>
      </c>
      <c r="C61" s="603">
        <f t="shared" si="8"/>
        <v>3655567575.8099999</v>
      </c>
      <c r="D61" s="603">
        <f t="shared" si="9"/>
        <v>603028493</v>
      </c>
      <c r="E61" s="603">
        <f t="shared" si="11"/>
        <v>146972934.81</v>
      </c>
      <c r="F61" s="603">
        <f t="shared" si="10"/>
        <v>93602758.189999998</v>
      </c>
      <c r="G61" s="603">
        <f t="shared" si="12"/>
        <v>0</v>
      </c>
      <c r="H61" s="603">
        <f t="shared" si="12"/>
        <v>0</v>
      </c>
    </row>
    <row r="62" spans="1:8">
      <c r="A62" s="857">
        <v>40</v>
      </c>
      <c r="B62" s="581" t="s">
        <v>641</v>
      </c>
      <c r="C62" s="603">
        <f t="shared" si="8"/>
        <v>3672699071.0700002</v>
      </c>
      <c r="D62" s="603">
        <f t="shared" si="9"/>
        <v>604593628</v>
      </c>
      <c r="E62" s="603">
        <f t="shared" si="11"/>
        <v>148610115.75999999</v>
      </c>
      <c r="F62" s="603">
        <f t="shared" si="10"/>
        <v>96615485.239999995</v>
      </c>
      <c r="G62" s="603">
        <f t="shared" si="12"/>
        <v>0</v>
      </c>
      <c r="H62" s="603">
        <f t="shared" si="12"/>
        <v>0</v>
      </c>
    </row>
    <row r="63" spans="1:8">
      <c r="A63" s="857">
        <v>41</v>
      </c>
      <c r="B63" s="581" t="s">
        <v>642</v>
      </c>
      <c r="C63" s="603">
        <f t="shared" si="8"/>
        <v>3678234718.9400001</v>
      </c>
      <c r="D63" s="603">
        <f t="shared" si="9"/>
        <v>605660281</v>
      </c>
      <c r="E63" s="603">
        <f t="shared" si="11"/>
        <v>145698306.96000001</v>
      </c>
      <c r="F63" s="603">
        <f t="shared" si="10"/>
        <v>99641134</v>
      </c>
      <c r="G63" s="603">
        <v>0</v>
      </c>
      <c r="H63" s="603">
        <v>0</v>
      </c>
    </row>
    <row r="64" spans="1:8" ht="13.5" thickBot="1">
      <c r="A64" s="857">
        <v>42</v>
      </c>
      <c r="B64" s="583" t="s">
        <v>643</v>
      </c>
      <c r="C64" s="605">
        <f t="shared" ref="C64:F64" si="13">SUM(C51:C63)/13</f>
        <v>3604861667.6623077</v>
      </c>
      <c r="D64" s="605">
        <f t="shared" si="13"/>
        <v>597891756.23076928</v>
      </c>
      <c r="E64" s="605">
        <f t="shared" si="13"/>
        <v>144581588.7976923</v>
      </c>
      <c r="F64" s="605">
        <f t="shared" si="13"/>
        <v>82175228.167692319</v>
      </c>
      <c r="G64" s="605">
        <f t="shared" ref="G64:H64" si="14">SUM(G51:G63)/13</f>
        <v>0</v>
      </c>
      <c r="H64" s="605">
        <f t="shared" si="14"/>
        <v>0</v>
      </c>
    </row>
    <row r="65" spans="1:2" ht="13.5" thickTop="1"/>
    <row r="68" spans="1:2">
      <c r="A68" s="584" t="s">
        <v>780</v>
      </c>
    </row>
    <row r="69" spans="1:2">
      <c r="A69" s="584" t="s">
        <v>9</v>
      </c>
      <c r="B69" s="971" t="s">
        <v>1387</v>
      </c>
    </row>
    <row r="70" spans="1:2">
      <c r="A70" s="584"/>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view="pageBreakPreview" topLeftCell="A67" zoomScale="60" zoomScaleNormal="90" workbookViewId="0">
      <selection sqref="A1:XFD1048576"/>
    </sheetView>
  </sheetViews>
  <sheetFormatPr defaultColWidth="9.1796875" defaultRowHeight="15.5"/>
  <cols>
    <col min="1" max="1" width="6.1796875" style="634" customWidth="1"/>
    <col min="2" max="2" width="79.7265625" style="634" customWidth="1"/>
    <col min="3" max="6" width="15" style="634" customWidth="1"/>
    <col min="7" max="7" width="14.1796875" style="634" bestFit="1" customWidth="1"/>
    <col min="8" max="8" width="9.1796875" style="634"/>
    <col min="9" max="9" width="17.7265625" style="634" bestFit="1" customWidth="1"/>
    <col min="10" max="10" width="16" style="634" bestFit="1" customWidth="1"/>
    <col min="11" max="11" width="9.1796875" style="634"/>
    <col min="12" max="12" width="11.453125" style="634" bestFit="1" customWidth="1"/>
    <col min="13" max="13" width="17.54296875" style="634" customWidth="1"/>
    <col min="14" max="16384" width="9.1796875" style="634"/>
  </cols>
  <sheetData>
    <row r="1" spans="1:13" ht="18">
      <c r="A1" s="2009" t="s">
        <v>343</v>
      </c>
      <c r="B1" s="2009"/>
      <c r="C1" s="2009"/>
      <c r="D1" s="2009"/>
      <c r="E1" s="2009"/>
      <c r="F1" s="633"/>
      <c r="I1" s="906"/>
    </row>
    <row r="2" spans="1:13" ht="20">
      <c r="A2" s="635"/>
      <c r="B2" s="636"/>
      <c r="C2" s="637"/>
      <c r="D2" s="633"/>
      <c r="E2" s="633"/>
      <c r="F2" s="633"/>
    </row>
    <row r="3" spans="1:13">
      <c r="A3" s="2010" t="s">
        <v>673</v>
      </c>
      <c r="B3" s="2010"/>
      <c r="C3" s="2010"/>
      <c r="D3" s="2010"/>
      <c r="E3" s="2010"/>
      <c r="F3" s="633"/>
    </row>
    <row r="4" spans="1:13">
      <c r="B4" s="631" t="s">
        <v>617</v>
      </c>
      <c r="C4" s="631" t="s">
        <v>618</v>
      </c>
      <c r="D4" s="631" t="s">
        <v>619</v>
      </c>
      <c r="E4" s="631" t="s">
        <v>620</v>
      </c>
      <c r="F4" s="631" t="s">
        <v>667</v>
      </c>
      <c r="G4" s="631" t="s">
        <v>668</v>
      </c>
      <c r="H4" s="902"/>
      <c r="I4" s="631"/>
      <c r="J4" s="631"/>
      <c r="K4" s="631"/>
      <c r="L4" s="631"/>
      <c r="M4" s="631"/>
    </row>
    <row r="5" spans="1:13">
      <c r="B5" s="638" t="s">
        <v>669</v>
      </c>
    </row>
    <row r="6" spans="1:13">
      <c r="B6" s="602" t="s">
        <v>670</v>
      </c>
      <c r="C6" s="639" t="s">
        <v>59</v>
      </c>
      <c r="D6" s="639" t="s">
        <v>913</v>
      </c>
      <c r="E6" s="640"/>
      <c r="F6" s="640"/>
      <c r="G6" s="641" t="s">
        <v>59</v>
      </c>
    </row>
    <row r="7" spans="1:13">
      <c r="A7" s="641">
        <v>1</v>
      </c>
      <c r="B7" s="642" t="s">
        <v>912</v>
      </c>
      <c r="C7" s="893">
        <v>0</v>
      </c>
      <c r="D7" s="935">
        <v>1</v>
      </c>
      <c r="E7" s="849"/>
      <c r="F7" s="849"/>
      <c r="G7" s="643">
        <f>+C7*D7</f>
        <v>0</v>
      </c>
      <c r="H7" s="641"/>
    </row>
    <row r="8" spans="1:13">
      <c r="A8" s="641">
        <v>2</v>
      </c>
      <c r="B8" s="642" t="s">
        <v>682</v>
      </c>
      <c r="C8" s="644">
        <v>0</v>
      </c>
      <c r="D8" s="935">
        <f>+'ATT H-9A'!H24</f>
        <v>0.14248734844503233</v>
      </c>
      <c r="E8" s="849"/>
      <c r="F8" s="849"/>
      <c r="G8" s="643">
        <f>+C8*D8</f>
        <v>0</v>
      </c>
      <c r="H8" s="641"/>
    </row>
    <row r="9" spans="1:13">
      <c r="A9" s="641">
        <v>3</v>
      </c>
      <c r="B9" s="642"/>
      <c r="C9" s="648"/>
      <c r="D9" s="849"/>
      <c r="E9" s="849"/>
      <c r="F9" s="849"/>
      <c r="G9" s="643">
        <f t="shared" ref="G9" si="0">+C9*D9</f>
        <v>0</v>
      </c>
      <c r="H9" s="641"/>
    </row>
    <row r="10" spans="1:13">
      <c r="A10" s="641">
        <v>4</v>
      </c>
      <c r="B10" s="602" t="s">
        <v>59</v>
      </c>
      <c r="C10" s="643">
        <f>SUM(C7:C9)</f>
        <v>0</v>
      </c>
      <c r="D10" s="643"/>
      <c r="E10" s="643"/>
      <c r="F10" s="643"/>
      <c r="G10" s="643">
        <f>SUM(G7:G9)</f>
        <v>0</v>
      </c>
      <c r="H10" s="641"/>
      <c r="L10" s="976"/>
    </row>
    <row r="11" spans="1:13">
      <c r="A11" s="641">
        <v>5</v>
      </c>
      <c r="B11" s="869"/>
      <c r="C11" s="869"/>
      <c r="D11" s="869"/>
      <c r="E11" s="869"/>
      <c r="F11" s="869"/>
      <c r="G11" s="869"/>
      <c r="H11" s="641"/>
      <c r="L11" s="976"/>
    </row>
    <row r="12" spans="1:13">
      <c r="A12" s="641">
        <v>6</v>
      </c>
      <c r="B12" s="638" t="s">
        <v>957</v>
      </c>
      <c r="C12" s="869"/>
      <c r="D12" s="869"/>
      <c r="E12" s="869"/>
      <c r="F12" s="869"/>
      <c r="G12" s="869"/>
      <c r="H12" s="641"/>
    </row>
    <row r="13" spans="1:13">
      <c r="A13" s="641">
        <v>7</v>
      </c>
      <c r="B13" s="602" t="s">
        <v>670</v>
      </c>
      <c r="C13" s="639" t="s">
        <v>59</v>
      </c>
      <c r="D13" s="639" t="s">
        <v>913</v>
      </c>
      <c r="E13" s="870"/>
      <c r="F13" s="870"/>
      <c r="G13" s="641" t="s">
        <v>59</v>
      </c>
      <c r="H13" s="641"/>
    </row>
    <row r="14" spans="1:13">
      <c r="A14" s="641">
        <v>8</v>
      </c>
      <c r="B14" s="642" t="s">
        <v>958</v>
      </c>
      <c r="C14" s="644">
        <f>+C86</f>
        <v>0</v>
      </c>
      <c r="D14" s="935">
        <f>+'ATT H-9A'!H24</f>
        <v>0.14248734844503233</v>
      </c>
      <c r="E14" s="872"/>
      <c r="F14" s="872"/>
      <c r="G14" s="873">
        <f>+C14*D14</f>
        <v>0</v>
      </c>
      <c r="H14" s="641"/>
    </row>
    <row r="15" spans="1:13">
      <c r="A15" s="641">
        <v>9</v>
      </c>
      <c r="B15" s="642" t="s">
        <v>959</v>
      </c>
      <c r="C15" s="644">
        <f>+D86</f>
        <v>0</v>
      </c>
      <c r="D15" s="935">
        <f>+'ATT H-9A'!H24</f>
        <v>0.14248734844503233</v>
      </c>
      <c r="E15" s="872"/>
      <c r="F15" s="872"/>
      <c r="G15" s="873">
        <f>+C15*D15</f>
        <v>0</v>
      </c>
      <c r="H15" s="641"/>
    </row>
    <row r="16" spans="1:13">
      <c r="A16" s="641">
        <v>10</v>
      </c>
      <c r="B16" s="642"/>
      <c r="C16" s="871"/>
      <c r="D16" s="872"/>
      <c r="E16" s="872"/>
      <c r="F16" s="872"/>
      <c r="G16" s="873">
        <f t="shared" ref="G16" si="1">+C16*D16</f>
        <v>0</v>
      </c>
      <c r="H16" s="641"/>
    </row>
    <row r="17" spans="1:9">
      <c r="A17" s="641">
        <v>11</v>
      </c>
      <c r="B17" s="602" t="s">
        <v>59</v>
      </c>
      <c r="C17" s="643">
        <f>SUM(C14:C16)</f>
        <v>0</v>
      </c>
      <c r="D17" s="873"/>
      <c r="E17" s="873"/>
      <c r="F17" s="873"/>
      <c r="G17" s="873">
        <f>SUM(G14:G16)</f>
        <v>0</v>
      </c>
      <c r="H17" s="641"/>
    </row>
    <row r="18" spans="1:9">
      <c r="A18" s="628"/>
      <c r="B18" s="602"/>
      <c r="C18" s="643"/>
      <c r="D18" s="643"/>
      <c r="E18" s="643"/>
      <c r="F18" s="643"/>
      <c r="G18" s="643"/>
      <c r="H18" s="641"/>
    </row>
    <row r="19" spans="1:9">
      <c r="A19" s="629"/>
      <c r="B19" s="638" t="s">
        <v>1012</v>
      </c>
      <c r="C19" s="874" t="s">
        <v>276</v>
      </c>
      <c r="D19" s="874" t="s">
        <v>949</v>
      </c>
      <c r="H19" s="641"/>
    </row>
    <row r="20" spans="1:9">
      <c r="B20" s="638" t="s">
        <v>665</v>
      </c>
      <c r="C20" s="602"/>
      <c r="D20" s="602"/>
      <c r="E20" s="602"/>
      <c r="F20" s="602"/>
      <c r="G20" s="641" t="s">
        <v>59</v>
      </c>
    </row>
    <row r="21" spans="1:9">
      <c r="A21" s="641">
        <v>12</v>
      </c>
      <c r="B21" s="602" t="s">
        <v>633</v>
      </c>
      <c r="C21" s="644">
        <v>0</v>
      </c>
      <c r="D21" s="644">
        <v>0</v>
      </c>
      <c r="E21" s="645"/>
      <c r="F21" s="645"/>
      <c r="G21" s="643">
        <f t="shared" ref="G21:G33" si="2">SUM(C21:F21)</f>
        <v>0</v>
      </c>
      <c r="H21" s="641"/>
      <c r="I21" s="269"/>
    </row>
    <row r="22" spans="1:9">
      <c r="A22" s="641">
        <v>13</v>
      </c>
      <c r="B22" s="602" t="s">
        <v>634</v>
      </c>
      <c r="C22" s="644">
        <v>0</v>
      </c>
      <c r="D22" s="644">
        <v>0</v>
      </c>
      <c r="E22" s="645"/>
      <c r="F22" s="645"/>
      <c r="G22" s="643">
        <f t="shared" si="2"/>
        <v>0</v>
      </c>
      <c r="H22" s="641"/>
      <c r="I22" s="269"/>
    </row>
    <row r="23" spans="1:9">
      <c r="A23" s="641">
        <v>14</v>
      </c>
      <c r="B23" s="602" t="s">
        <v>635</v>
      </c>
      <c r="C23" s="644">
        <v>0</v>
      </c>
      <c r="D23" s="644">
        <v>0</v>
      </c>
      <c r="E23" s="645"/>
      <c r="F23" s="645"/>
      <c r="G23" s="643">
        <f t="shared" si="2"/>
        <v>0</v>
      </c>
      <c r="H23" s="641"/>
      <c r="I23" s="269"/>
    </row>
    <row r="24" spans="1:9">
      <c r="A24" s="641">
        <v>15</v>
      </c>
      <c r="B24" s="602" t="s">
        <v>636</v>
      </c>
      <c r="C24" s="644">
        <v>0</v>
      </c>
      <c r="D24" s="644">
        <v>0</v>
      </c>
      <c r="E24" s="645"/>
      <c r="F24" s="645"/>
      <c r="G24" s="643">
        <f t="shared" si="2"/>
        <v>0</v>
      </c>
      <c r="H24" s="641"/>
      <c r="I24" s="269"/>
    </row>
    <row r="25" spans="1:9">
      <c r="A25" s="641">
        <v>16</v>
      </c>
      <c r="B25" s="602" t="s">
        <v>213</v>
      </c>
      <c r="C25" s="644">
        <v>0</v>
      </c>
      <c r="D25" s="644">
        <v>0</v>
      </c>
      <c r="E25" s="645"/>
      <c r="F25" s="645"/>
      <c r="G25" s="643">
        <f t="shared" si="2"/>
        <v>0</v>
      </c>
      <c r="H25" s="641"/>
      <c r="I25" s="269"/>
    </row>
    <row r="26" spans="1:9">
      <c r="A26" s="641">
        <v>17</v>
      </c>
      <c r="B26" s="602" t="s">
        <v>214</v>
      </c>
      <c r="C26" s="644">
        <v>0</v>
      </c>
      <c r="D26" s="644">
        <v>0</v>
      </c>
      <c r="E26" s="645"/>
      <c r="F26" s="645"/>
      <c r="G26" s="643">
        <f t="shared" si="2"/>
        <v>0</v>
      </c>
      <c r="H26" s="641"/>
      <c r="I26" s="269"/>
    </row>
    <row r="27" spans="1:9">
      <c r="A27" s="641">
        <v>18</v>
      </c>
      <c r="B27" s="602" t="s">
        <v>215</v>
      </c>
      <c r="C27" s="644">
        <v>0</v>
      </c>
      <c r="D27" s="644">
        <v>0</v>
      </c>
      <c r="E27" s="645"/>
      <c r="F27" s="645"/>
      <c r="G27" s="643">
        <f t="shared" si="2"/>
        <v>0</v>
      </c>
      <c r="H27" s="641"/>
      <c r="I27" s="269"/>
    </row>
    <row r="28" spans="1:9">
      <c r="A28" s="641">
        <v>19</v>
      </c>
      <c r="B28" s="602" t="s">
        <v>637</v>
      </c>
      <c r="C28" s="644">
        <v>0</v>
      </c>
      <c r="D28" s="644">
        <v>0</v>
      </c>
      <c r="E28" s="645"/>
      <c r="F28" s="645"/>
      <c r="G28" s="643">
        <f t="shared" si="2"/>
        <v>0</v>
      </c>
      <c r="H28" s="641"/>
      <c r="I28" s="269"/>
    </row>
    <row r="29" spans="1:9">
      <c r="A29" s="641">
        <v>20</v>
      </c>
      <c r="B29" s="602" t="s">
        <v>638</v>
      </c>
      <c r="C29" s="644">
        <v>0</v>
      </c>
      <c r="D29" s="644">
        <v>0</v>
      </c>
      <c r="E29" s="645"/>
      <c r="F29" s="645"/>
      <c r="G29" s="643">
        <f t="shared" si="2"/>
        <v>0</v>
      </c>
      <c r="H29" s="641"/>
      <c r="I29" s="269"/>
    </row>
    <row r="30" spans="1:9">
      <c r="A30" s="641">
        <v>21</v>
      </c>
      <c r="B30" s="602" t="s">
        <v>639</v>
      </c>
      <c r="C30" s="644">
        <v>0</v>
      </c>
      <c r="D30" s="644">
        <v>0</v>
      </c>
      <c r="E30" s="645"/>
      <c r="F30" s="645"/>
      <c r="G30" s="643">
        <f t="shared" si="2"/>
        <v>0</v>
      </c>
      <c r="H30" s="641"/>
      <c r="I30" s="269"/>
    </row>
    <row r="31" spans="1:9">
      <c r="A31" s="641">
        <v>22</v>
      </c>
      <c r="B31" s="602" t="s">
        <v>640</v>
      </c>
      <c r="C31" s="644">
        <v>0</v>
      </c>
      <c r="D31" s="644">
        <v>0</v>
      </c>
      <c r="E31" s="645"/>
      <c r="F31" s="645"/>
      <c r="G31" s="643">
        <f t="shared" si="2"/>
        <v>0</v>
      </c>
      <c r="H31" s="641"/>
      <c r="I31" s="269"/>
    </row>
    <row r="32" spans="1:9">
      <c r="A32" s="641">
        <v>23</v>
      </c>
      <c r="B32" s="602" t="s">
        <v>641</v>
      </c>
      <c r="C32" s="644">
        <v>0</v>
      </c>
      <c r="D32" s="644">
        <v>0</v>
      </c>
      <c r="E32" s="645"/>
      <c r="F32" s="645"/>
      <c r="G32" s="643">
        <f t="shared" si="2"/>
        <v>0</v>
      </c>
      <c r="H32" s="641"/>
      <c r="I32" s="269"/>
    </row>
    <row r="33" spans="1:9">
      <c r="A33" s="641">
        <v>24</v>
      </c>
      <c r="B33" s="602" t="s">
        <v>642</v>
      </c>
      <c r="C33" s="644">
        <v>0</v>
      </c>
      <c r="D33" s="644">
        <v>0</v>
      </c>
      <c r="E33" s="645"/>
      <c r="F33" s="645"/>
      <c r="G33" s="643">
        <f t="shared" si="2"/>
        <v>0</v>
      </c>
      <c r="H33" s="641"/>
      <c r="I33" s="269"/>
    </row>
    <row r="34" spans="1:9">
      <c r="A34" s="641">
        <v>25</v>
      </c>
      <c r="B34" s="602" t="s">
        <v>664</v>
      </c>
      <c r="C34" s="646">
        <f>AVERAGE(C21:C33)</f>
        <v>0</v>
      </c>
      <c r="D34" s="646">
        <f>AVERAGE(D21:D33)</f>
        <v>0</v>
      </c>
      <c r="E34" s="646"/>
      <c r="F34" s="646"/>
      <c r="G34" s="646">
        <v>0</v>
      </c>
      <c r="H34" s="641"/>
      <c r="I34" s="269"/>
    </row>
    <row r="35" spans="1:9">
      <c r="A35" s="641"/>
      <c r="B35" s="602"/>
      <c r="C35" s="646"/>
      <c r="D35" s="646"/>
      <c r="E35" s="646"/>
      <c r="I35" s="269"/>
    </row>
    <row r="36" spans="1:9">
      <c r="I36" s="269"/>
    </row>
    <row r="37" spans="1:9">
      <c r="B37" s="638" t="s">
        <v>88</v>
      </c>
      <c r="C37" s="874" t="s">
        <v>276</v>
      </c>
      <c r="D37" s="874" t="s">
        <v>949</v>
      </c>
      <c r="E37" s="602"/>
      <c r="F37" s="602"/>
      <c r="G37" s="641" t="s">
        <v>59</v>
      </c>
      <c r="I37" s="269"/>
    </row>
    <row r="38" spans="1:9">
      <c r="A38" s="641">
        <v>26</v>
      </c>
      <c r="B38" s="602" t="s">
        <v>633</v>
      </c>
      <c r="C38" s="644">
        <v>0</v>
      </c>
      <c r="D38" s="848">
        <v>0</v>
      </c>
      <c r="E38" s="645"/>
      <c r="F38" s="645"/>
      <c r="G38" s="643">
        <f t="shared" ref="G38:G50" si="3">SUM(C38:F38)</f>
        <v>0</v>
      </c>
      <c r="H38" s="641"/>
      <c r="I38" s="269"/>
    </row>
    <row r="39" spans="1:9">
      <c r="A39" s="641">
        <v>27</v>
      </c>
      <c r="B39" s="602" t="s">
        <v>634</v>
      </c>
      <c r="C39" s="644">
        <v>0</v>
      </c>
      <c r="D39" s="848">
        <v>0</v>
      </c>
      <c r="E39" s="645"/>
      <c r="F39" s="645"/>
      <c r="G39" s="643">
        <f t="shared" si="3"/>
        <v>0</v>
      </c>
      <c r="H39" s="641"/>
      <c r="I39" s="269"/>
    </row>
    <row r="40" spans="1:9">
      <c r="A40" s="641">
        <v>28</v>
      </c>
      <c r="B40" s="602" t="s">
        <v>635</v>
      </c>
      <c r="C40" s="644">
        <v>0</v>
      </c>
      <c r="D40" s="848">
        <v>0</v>
      </c>
      <c r="E40" s="645"/>
      <c r="F40" s="645"/>
      <c r="G40" s="643">
        <f t="shared" si="3"/>
        <v>0</v>
      </c>
      <c r="H40" s="641"/>
      <c r="I40" s="269"/>
    </row>
    <row r="41" spans="1:9">
      <c r="A41" s="641">
        <v>29</v>
      </c>
      <c r="B41" s="602" t="s">
        <v>636</v>
      </c>
      <c r="C41" s="644">
        <v>0</v>
      </c>
      <c r="D41" s="848">
        <v>0</v>
      </c>
      <c r="E41" s="645"/>
      <c r="F41" s="645"/>
      <c r="G41" s="643">
        <f t="shared" si="3"/>
        <v>0</v>
      </c>
      <c r="H41" s="641"/>
      <c r="I41" s="269"/>
    </row>
    <row r="42" spans="1:9">
      <c r="A42" s="641">
        <v>30</v>
      </c>
      <c r="B42" s="602" t="s">
        <v>213</v>
      </c>
      <c r="C42" s="644">
        <v>0</v>
      </c>
      <c r="D42" s="848">
        <v>0</v>
      </c>
      <c r="E42" s="645"/>
      <c r="F42" s="645"/>
      <c r="G42" s="643">
        <f t="shared" si="3"/>
        <v>0</v>
      </c>
      <c r="H42" s="641"/>
      <c r="I42" s="269"/>
    </row>
    <row r="43" spans="1:9">
      <c r="A43" s="641">
        <v>31</v>
      </c>
      <c r="B43" s="602" t="s">
        <v>214</v>
      </c>
      <c r="C43" s="644">
        <v>0</v>
      </c>
      <c r="D43" s="848">
        <v>0</v>
      </c>
      <c r="E43" s="645"/>
      <c r="F43" s="645"/>
      <c r="G43" s="643">
        <f t="shared" si="3"/>
        <v>0</v>
      </c>
      <c r="H43" s="641"/>
      <c r="I43" s="269"/>
    </row>
    <row r="44" spans="1:9">
      <c r="A44" s="641">
        <v>32</v>
      </c>
      <c r="B44" s="602" t="s">
        <v>215</v>
      </c>
      <c r="C44" s="644">
        <v>0</v>
      </c>
      <c r="D44" s="848">
        <v>0</v>
      </c>
      <c r="E44" s="645"/>
      <c r="F44" s="645"/>
      <c r="G44" s="643">
        <f t="shared" si="3"/>
        <v>0</v>
      </c>
      <c r="H44" s="641"/>
      <c r="I44" s="269"/>
    </row>
    <row r="45" spans="1:9">
      <c r="A45" s="641">
        <v>33</v>
      </c>
      <c r="B45" s="602" t="s">
        <v>637</v>
      </c>
      <c r="C45" s="644">
        <v>0</v>
      </c>
      <c r="D45" s="848">
        <v>0</v>
      </c>
      <c r="E45" s="645"/>
      <c r="F45" s="645"/>
      <c r="G45" s="643">
        <f t="shared" si="3"/>
        <v>0</v>
      </c>
      <c r="H45" s="641"/>
      <c r="I45" s="269"/>
    </row>
    <row r="46" spans="1:9">
      <c r="A46" s="641">
        <v>34</v>
      </c>
      <c r="B46" s="602" t="s">
        <v>638</v>
      </c>
      <c r="C46" s="644">
        <v>0</v>
      </c>
      <c r="D46" s="848">
        <v>0</v>
      </c>
      <c r="E46" s="645"/>
      <c r="F46" s="645"/>
      <c r="G46" s="643">
        <f t="shared" si="3"/>
        <v>0</v>
      </c>
      <c r="H46" s="641"/>
      <c r="I46" s="269"/>
    </row>
    <row r="47" spans="1:9">
      <c r="A47" s="641">
        <v>35</v>
      </c>
      <c r="B47" s="602" t="s">
        <v>639</v>
      </c>
      <c r="C47" s="644">
        <v>0</v>
      </c>
      <c r="D47" s="848">
        <v>0</v>
      </c>
      <c r="E47" s="645"/>
      <c r="F47" s="645"/>
      <c r="G47" s="643">
        <f t="shared" si="3"/>
        <v>0</v>
      </c>
      <c r="H47" s="641"/>
      <c r="I47" s="269"/>
    </row>
    <row r="48" spans="1:9">
      <c r="A48" s="641">
        <v>36</v>
      </c>
      <c r="B48" s="602" t="s">
        <v>640</v>
      </c>
      <c r="C48" s="644">
        <v>0</v>
      </c>
      <c r="D48" s="848">
        <v>0</v>
      </c>
      <c r="E48" s="645"/>
      <c r="F48" s="645"/>
      <c r="G48" s="643">
        <f t="shared" si="3"/>
        <v>0</v>
      </c>
      <c r="H48" s="641"/>
      <c r="I48" s="269"/>
    </row>
    <row r="49" spans="1:9">
      <c r="A49" s="641">
        <v>37</v>
      </c>
      <c r="B49" s="602" t="s">
        <v>641</v>
      </c>
      <c r="C49" s="644">
        <v>0</v>
      </c>
      <c r="D49" s="848">
        <v>0</v>
      </c>
      <c r="E49" s="645"/>
      <c r="F49" s="645"/>
      <c r="G49" s="643">
        <f t="shared" si="3"/>
        <v>0</v>
      </c>
      <c r="H49" s="641"/>
      <c r="I49" s="269"/>
    </row>
    <row r="50" spans="1:9">
      <c r="A50" s="641">
        <v>38</v>
      </c>
      <c r="B50" s="602" t="s">
        <v>642</v>
      </c>
      <c r="C50" s="644">
        <v>0</v>
      </c>
      <c r="D50" s="848">
        <v>0</v>
      </c>
      <c r="E50" s="645"/>
      <c r="F50" s="645"/>
      <c r="G50" s="643">
        <f t="shared" si="3"/>
        <v>0</v>
      </c>
      <c r="H50" s="641"/>
      <c r="I50" s="269"/>
    </row>
    <row r="51" spans="1:9">
      <c r="A51" s="641">
        <v>39</v>
      </c>
      <c r="B51" s="602" t="s">
        <v>664</v>
      </c>
      <c r="C51" s="646">
        <f>AVERAGE(C38:C50)</f>
        <v>0</v>
      </c>
      <c r="D51" s="646">
        <f>AVERAGE(D38:D50)</f>
        <v>0</v>
      </c>
      <c r="E51" s="646"/>
      <c r="F51" s="646"/>
      <c r="G51" s="646">
        <f>AVERAGE(G38:G50)</f>
        <v>0</v>
      </c>
      <c r="I51" s="269"/>
    </row>
    <row r="52" spans="1:9" ht="18">
      <c r="B52" s="2009" t="s">
        <v>343</v>
      </c>
      <c r="C52" s="2009"/>
      <c r="D52" s="2009"/>
      <c r="E52" s="2009"/>
      <c r="F52" s="2009"/>
    </row>
    <row r="53" spans="1:9" ht="20">
      <c r="A53" s="635"/>
      <c r="B53" s="636"/>
      <c r="C53" s="637"/>
      <c r="D53" s="633"/>
      <c r="E53" s="633"/>
      <c r="F53" s="633"/>
    </row>
    <row r="54" spans="1:9">
      <c r="A54" s="2010" t="s">
        <v>673</v>
      </c>
      <c r="B54" s="2010"/>
      <c r="C54" s="2010"/>
      <c r="D54" s="2010"/>
      <c r="E54" s="2010"/>
      <c r="F54" s="633"/>
    </row>
    <row r="55" spans="1:9">
      <c r="B55" s="631" t="s">
        <v>617</v>
      </c>
      <c r="C55" s="631" t="s">
        <v>618</v>
      </c>
      <c r="D55" s="631" t="s">
        <v>619</v>
      </c>
      <c r="E55" s="631" t="s">
        <v>620</v>
      </c>
      <c r="F55" s="631" t="s">
        <v>667</v>
      </c>
      <c r="G55" s="631" t="s">
        <v>668</v>
      </c>
    </row>
    <row r="56" spans="1:9">
      <c r="A56" s="633"/>
      <c r="B56" s="638" t="s">
        <v>671</v>
      </c>
      <c r="C56" s="874" t="s">
        <v>276</v>
      </c>
      <c r="D56" s="874" t="s">
        <v>949</v>
      </c>
      <c r="E56" s="602"/>
      <c r="F56" s="602"/>
      <c r="G56" s="641" t="s">
        <v>59</v>
      </c>
    </row>
    <row r="57" spans="1:9">
      <c r="A57" s="641">
        <v>40</v>
      </c>
      <c r="B57" s="602" t="s">
        <v>633</v>
      </c>
      <c r="C57" s="646">
        <f>C21-C38</f>
        <v>0</v>
      </c>
      <c r="D57" s="646">
        <f>D21-D38</f>
        <v>0</v>
      </c>
      <c r="E57" s="646">
        <f t="shared" ref="C57:F69" si="4">E21-E38</f>
        <v>0</v>
      </c>
      <c r="F57" s="646">
        <f t="shared" si="4"/>
        <v>0</v>
      </c>
      <c r="G57" s="643">
        <f t="shared" ref="G57:G69" si="5">SUM(C57:F57)</f>
        <v>0</v>
      </c>
      <c r="H57" s="641"/>
    </row>
    <row r="58" spans="1:9">
      <c r="A58" s="641">
        <v>41</v>
      </c>
      <c r="B58" s="602" t="s">
        <v>634</v>
      </c>
      <c r="C58" s="646">
        <f t="shared" si="4"/>
        <v>0</v>
      </c>
      <c r="D58" s="646">
        <f t="shared" si="4"/>
        <v>0</v>
      </c>
      <c r="E58" s="646">
        <f t="shared" si="4"/>
        <v>0</v>
      </c>
      <c r="F58" s="646">
        <f t="shared" si="4"/>
        <v>0</v>
      </c>
      <c r="G58" s="643">
        <f t="shared" si="5"/>
        <v>0</v>
      </c>
      <c r="H58" s="641"/>
    </row>
    <row r="59" spans="1:9">
      <c r="A59" s="641">
        <v>42</v>
      </c>
      <c r="B59" s="602" t="s">
        <v>635</v>
      </c>
      <c r="C59" s="646">
        <f t="shared" si="4"/>
        <v>0</v>
      </c>
      <c r="D59" s="646">
        <f t="shared" si="4"/>
        <v>0</v>
      </c>
      <c r="E59" s="646">
        <f t="shared" si="4"/>
        <v>0</v>
      </c>
      <c r="F59" s="646">
        <f t="shared" si="4"/>
        <v>0</v>
      </c>
      <c r="G59" s="643">
        <f t="shared" si="5"/>
        <v>0</v>
      </c>
      <c r="H59" s="641"/>
    </row>
    <row r="60" spans="1:9">
      <c r="A60" s="641">
        <v>43</v>
      </c>
      <c r="B60" s="602" t="s">
        <v>636</v>
      </c>
      <c r="C60" s="646">
        <f t="shared" si="4"/>
        <v>0</v>
      </c>
      <c r="D60" s="646">
        <f t="shared" si="4"/>
        <v>0</v>
      </c>
      <c r="E60" s="646">
        <f t="shared" si="4"/>
        <v>0</v>
      </c>
      <c r="F60" s="646">
        <f t="shared" si="4"/>
        <v>0</v>
      </c>
      <c r="G60" s="643">
        <f t="shared" si="5"/>
        <v>0</v>
      </c>
      <c r="H60" s="641"/>
    </row>
    <row r="61" spans="1:9">
      <c r="A61" s="641">
        <v>44</v>
      </c>
      <c r="B61" s="602" t="s">
        <v>213</v>
      </c>
      <c r="C61" s="646">
        <f t="shared" si="4"/>
        <v>0</v>
      </c>
      <c r="D61" s="646">
        <f t="shared" si="4"/>
        <v>0</v>
      </c>
      <c r="E61" s="646">
        <f t="shared" si="4"/>
        <v>0</v>
      </c>
      <c r="F61" s="646">
        <f t="shared" si="4"/>
        <v>0</v>
      </c>
      <c r="G61" s="643">
        <f t="shared" si="5"/>
        <v>0</v>
      </c>
      <c r="H61" s="641"/>
    </row>
    <row r="62" spans="1:9">
      <c r="A62" s="641">
        <v>45</v>
      </c>
      <c r="B62" s="602" t="s">
        <v>214</v>
      </c>
      <c r="C62" s="646">
        <f t="shared" si="4"/>
        <v>0</v>
      </c>
      <c r="D62" s="646">
        <f t="shared" si="4"/>
        <v>0</v>
      </c>
      <c r="E62" s="646">
        <f t="shared" si="4"/>
        <v>0</v>
      </c>
      <c r="F62" s="646">
        <f t="shared" si="4"/>
        <v>0</v>
      </c>
      <c r="G62" s="643">
        <f t="shared" si="5"/>
        <v>0</v>
      </c>
      <c r="H62" s="641"/>
    </row>
    <row r="63" spans="1:9">
      <c r="A63" s="641">
        <v>46</v>
      </c>
      <c r="B63" s="602" t="s">
        <v>215</v>
      </c>
      <c r="C63" s="646">
        <f t="shared" si="4"/>
        <v>0</v>
      </c>
      <c r="D63" s="646">
        <f t="shared" si="4"/>
        <v>0</v>
      </c>
      <c r="E63" s="646">
        <f t="shared" si="4"/>
        <v>0</v>
      </c>
      <c r="F63" s="646">
        <f t="shared" si="4"/>
        <v>0</v>
      </c>
      <c r="G63" s="643">
        <f t="shared" si="5"/>
        <v>0</v>
      </c>
      <c r="H63" s="641"/>
    </row>
    <row r="64" spans="1:9">
      <c r="A64" s="641">
        <v>47</v>
      </c>
      <c r="B64" s="602" t="s">
        <v>637</v>
      </c>
      <c r="C64" s="646">
        <f t="shared" si="4"/>
        <v>0</v>
      </c>
      <c r="D64" s="646">
        <f t="shared" si="4"/>
        <v>0</v>
      </c>
      <c r="E64" s="646">
        <f t="shared" si="4"/>
        <v>0</v>
      </c>
      <c r="F64" s="646">
        <f t="shared" si="4"/>
        <v>0</v>
      </c>
      <c r="G64" s="643">
        <f t="shared" si="5"/>
        <v>0</v>
      </c>
      <c r="H64" s="641"/>
    </row>
    <row r="65" spans="1:8">
      <c r="A65" s="641">
        <v>48</v>
      </c>
      <c r="B65" s="602" t="s">
        <v>638</v>
      </c>
      <c r="C65" s="646">
        <f t="shared" si="4"/>
        <v>0</v>
      </c>
      <c r="D65" s="646">
        <f t="shared" si="4"/>
        <v>0</v>
      </c>
      <c r="E65" s="646">
        <f t="shared" si="4"/>
        <v>0</v>
      </c>
      <c r="F65" s="646">
        <f t="shared" si="4"/>
        <v>0</v>
      </c>
      <c r="G65" s="643">
        <f t="shared" si="5"/>
        <v>0</v>
      </c>
      <c r="H65" s="641"/>
    </row>
    <row r="66" spans="1:8">
      <c r="A66" s="641">
        <v>49</v>
      </c>
      <c r="B66" s="602" t="s">
        <v>639</v>
      </c>
      <c r="C66" s="646">
        <f t="shared" si="4"/>
        <v>0</v>
      </c>
      <c r="D66" s="646">
        <f t="shared" si="4"/>
        <v>0</v>
      </c>
      <c r="E66" s="646">
        <f t="shared" si="4"/>
        <v>0</v>
      </c>
      <c r="F66" s="646">
        <f t="shared" si="4"/>
        <v>0</v>
      </c>
      <c r="G66" s="643">
        <f t="shared" si="5"/>
        <v>0</v>
      </c>
      <c r="H66" s="641"/>
    </row>
    <row r="67" spans="1:8">
      <c r="A67" s="641">
        <v>50</v>
      </c>
      <c r="B67" s="602" t="s">
        <v>640</v>
      </c>
      <c r="C67" s="646">
        <f t="shared" si="4"/>
        <v>0</v>
      </c>
      <c r="D67" s="646">
        <f t="shared" si="4"/>
        <v>0</v>
      </c>
      <c r="E67" s="646">
        <f t="shared" si="4"/>
        <v>0</v>
      </c>
      <c r="F67" s="646">
        <f t="shared" si="4"/>
        <v>0</v>
      </c>
      <c r="G67" s="643">
        <f t="shared" si="5"/>
        <v>0</v>
      </c>
      <c r="H67" s="641"/>
    </row>
    <row r="68" spans="1:8">
      <c r="A68" s="641">
        <v>51</v>
      </c>
      <c r="B68" s="602" t="s">
        <v>641</v>
      </c>
      <c r="C68" s="646">
        <f t="shared" si="4"/>
        <v>0</v>
      </c>
      <c r="D68" s="646">
        <f t="shared" si="4"/>
        <v>0</v>
      </c>
      <c r="E68" s="646">
        <f t="shared" si="4"/>
        <v>0</v>
      </c>
      <c r="F68" s="646">
        <f t="shared" si="4"/>
        <v>0</v>
      </c>
      <c r="G68" s="643">
        <f t="shared" si="5"/>
        <v>0</v>
      </c>
      <c r="H68" s="641"/>
    </row>
    <row r="69" spans="1:8">
      <c r="A69" s="641">
        <v>52</v>
      </c>
      <c r="B69" s="602" t="s">
        <v>642</v>
      </c>
      <c r="C69" s="646">
        <f t="shared" si="4"/>
        <v>0</v>
      </c>
      <c r="D69" s="646">
        <f t="shared" si="4"/>
        <v>0</v>
      </c>
      <c r="E69" s="646">
        <f t="shared" si="4"/>
        <v>0</v>
      </c>
      <c r="F69" s="646">
        <f t="shared" si="4"/>
        <v>0</v>
      </c>
      <c r="G69" s="643">
        <f t="shared" si="5"/>
        <v>0</v>
      </c>
      <c r="H69" s="641"/>
    </row>
    <row r="70" spans="1:8">
      <c r="A70" s="641">
        <v>53</v>
      </c>
      <c r="B70" s="602" t="s">
        <v>664</v>
      </c>
      <c r="C70" s="646">
        <f>AVERAGE(C57:C69)</f>
        <v>0</v>
      </c>
      <c r="D70" s="646">
        <f t="shared" ref="D70:F70" si="6">AVERAGE(D57:D69)</f>
        <v>0</v>
      </c>
      <c r="E70" s="646">
        <f t="shared" si="6"/>
        <v>0</v>
      </c>
      <c r="F70" s="646">
        <f t="shared" si="6"/>
        <v>0</v>
      </c>
      <c r="G70" s="646">
        <v>0</v>
      </c>
      <c r="H70" s="641"/>
    </row>
    <row r="71" spans="1:8">
      <c r="A71" s="633"/>
    </row>
    <row r="72" spans="1:8">
      <c r="A72" s="633"/>
    </row>
    <row r="73" spans="1:8">
      <c r="A73" s="633"/>
      <c r="B73" s="638" t="s">
        <v>672</v>
      </c>
      <c r="C73" s="874" t="s">
        <v>276</v>
      </c>
      <c r="D73" s="874" t="s">
        <v>949</v>
      </c>
      <c r="G73" s="641" t="s">
        <v>59</v>
      </c>
    </row>
    <row r="74" spans="1:8">
      <c r="A74" s="641">
        <v>54</v>
      </c>
      <c r="B74" s="602" t="s">
        <v>634</v>
      </c>
      <c r="C74" s="646">
        <f>C39-C38</f>
        <v>0</v>
      </c>
      <c r="D74" s="646">
        <f>D39-D38</f>
        <v>0</v>
      </c>
      <c r="G74" s="643">
        <f t="shared" ref="G74:G86" si="7">SUM(C74:F74)</f>
        <v>0</v>
      </c>
      <c r="H74" s="641"/>
    </row>
    <row r="75" spans="1:8">
      <c r="A75" s="641">
        <v>55</v>
      </c>
      <c r="B75" s="602" t="s">
        <v>635</v>
      </c>
      <c r="C75" s="646">
        <f>C40-C39</f>
        <v>0</v>
      </c>
      <c r="D75" s="646">
        <f>D40-D39</f>
        <v>0</v>
      </c>
      <c r="G75" s="643">
        <f t="shared" si="7"/>
        <v>0</v>
      </c>
      <c r="H75" s="641"/>
    </row>
    <row r="76" spans="1:8">
      <c r="A76" s="641">
        <v>56</v>
      </c>
      <c r="B76" s="602" t="s">
        <v>636</v>
      </c>
      <c r="C76" s="646">
        <f t="shared" ref="C76:D85" si="8">C41-C40</f>
        <v>0</v>
      </c>
      <c r="D76" s="646">
        <f t="shared" si="8"/>
        <v>0</v>
      </c>
      <c r="G76" s="643">
        <f t="shared" si="7"/>
        <v>0</v>
      </c>
      <c r="H76" s="641"/>
    </row>
    <row r="77" spans="1:8">
      <c r="A77" s="641">
        <v>57</v>
      </c>
      <c r="B77" s="602" t="s">
        <v>213</v>
      </c>
      <c r="C77" s="646">
        <v>0</v>
      </c>
      <c r="D77" s="646">
        <v>0</v>
      </c>
      <c r="G77" s="643">
        <f t="shared" si="7"/>
        <v>0</v>
      </c>
      <c r="H77" s="641"/>
    </row>
    <row r="78" spans="1:8">
      <c r="A78" s="641">
        <v>58</v>
      </c>
      <c r="B78" s="602" t="s">
        <v>214</v>
      </c>
      <c r="C78" s="646">
        <f>C43-C42</f>
        <v>0</v>
      </c>
      <c r="D78" s="646">
        <f t="shared" si="8"/>
        <v>0</v>
      </c>
      <c r="G78" s="643">
        <f t="shared" si="7"/>
        <v>0</v>
      </c>
      <c r="H78" s="641"/>
    </row>
    <row r="79" spans="1:8">
      <c r="A79" s="641">
        <v>59</v>
      </c>
      <c r="B79" s="602" t="s">
        <v>215</v>
      </c>
      <c r="C79" s="646">
        <f t="shared" si="8"/>
        <v>0</v>
      </c>
      <c r="D79" s="646">
        <f t="shared" si="8"/>
        <v>0</v>
      </c>
      <c r="G79" s="643">
        <f t="shared" si="7"/>
        <v>0</v>
      </c>
      <c r="H79" s="641"/>
    </row>
    <row r="80" spans="1:8">
      <c r="A80" s="641">
        <v>60</v>
      </c>
      <c r="B80" s="602" t="s">
        <v>637</v>
      </c>
      <c r="C80" s="646">
        <f t="shared" si="8"/>
        <v>0</v>
      </c>
      <c r="D80" s="646">
        <f t="shared" si="8"/>
        <v>0</v>
      </c>
      <c r="G80" s="643">
        <f t="shared" si="7"/>
        <v>0</v>
      </c>
      <c r="H80" s="641"/>
    </row>
    <row r="81" spans="1:8">
      <c r="A81" s="641">
        <v>61</v>
      </c>
      <c r="B81" s="602" t="s">
        <v>638</v>
      </c>
      <c r="C81" s="646">
        <f t="shared" si="8"/>
        <v>0</v>
      </c>
      <c r="D81" s="646">
        <f t="shared" si="8"/>
        <v>0</v>
      </c>
      <c r="G81" s="643">
        <f t="shared" si="7"/>
        <v>0</v>
      </c>
      <c r="H81" s="641"/>
    </row>
    <row r="82" spans="1:8">
      <c r="A82" s="641">
        <v>62</v>
      </c>
      <c r="B82" s="602" t="s">
        <v>639</v>
      </c>
      <c r="C82" s="646">
        <f t="shared" si="8"/>
        <v>0</v>
      </c>
      <c r="D82" s="646">
        <f t="shared" si="8"/>
        <v>0</v>
      </c>
      <c r="G82" s="643">
        <f t="shared" si="7"/>
        <v>0</v>
      </c>
      <c r="H82" s="641"/>
    </row>
    <row r="83" spans="1:8">
      <c r="A83" s="641">
        <v>63</v>
      </c>
      <c r="B83" s="602" t="s">
        <v>640</v>
      </c>
      <c r="C83" s="646">
        <f t="shared" si="8"/>
        <v>0</v>
      </c>
      <c r="D83" s="646">
        <f t="shared" si="8"/>
        <v>0</v>
      </c>
      <c r="G83" s="643">
        <f t="shared" si="7"/>
        <v>0</v>
      </c>
      <c r="H83" s="641"/>
    </row>
    <row r="84" spans="1:8">
      <c r="A84" s="641">
        <v>64</v>
      </c>
      <c r="B84" s="602" t="s">
        <v>641</v>
      </c>
      <c r="C84" s="646">
        <f t="shared" si="8"/>
        <v>0</v>
      </c>
      <c r="D84" s="646">
        <f t="shared" si="8"/>
        <v>0</v>
      </c>
      <c r="G84" s="643">
        <f t="shared" si="7"/>
        <v>0</v>
      </c>
      <c r="H84" s="641"/>
    </row>
    <row r="85" spans="1:8">
      <c r="A85" s="641">
        <v>65</v>
      </c>
      <c r="B85" s="602" t="s">
        <v>642</v>
      </c>
      <c r="C85" s="646">
        <f t="shared" si="8"/>
        <v>0</v>
      </c>
      <c r="D85" s="646">
        <f t="shared" si="8"/>
        <v>0</v>
      </c>
      <c r="G85" s="643">
        <f t="shared" si="7"/>
        <v>0</v>
      </c>
      <c r="H85" s="641"/>
    </row>
    <row r="86" spans="1:8">
      <c r="A86" s="641">
        <v>66</v>
      </c>
      <c r="B86" s="602" t="s">
        <v>59</v>
      </c>
      <c r="C86" s="646">
        <f>SUM(C74:C85)</f>
        <v>0</v>
      </c>
      <c r="D86" s="646">
        <f>SUM(D74:D85)</f>
        <v>0</v>
      </c>
      <c r="G86" s="643">
        <f t="shared" si="7"/>
        <v>0</v>
      </c>
    </row>
    <row r="87" spans="1:8">
      <c r="G87" s="646"/>
    </row>
    <row r="89" spans="1:8">
      <c r="B89" s="638" t="s">
        <v>962</v>
      </c>
      <c r="C89" s="602"/>
    </row>
    <row r="90" spans="1:8">
      <c r="A90" s="641">
        <v>67</v>
      </c>
      <c r="B90" s="602" t="s">
        <v>633</v>
      </c>
      <c r="C90" s="644">
        <v>0</v>
      </c>
    </row>
    <row r="91" spans="1:8">
      <c r="A91" s="641">
        <v>68</v>
      </c>
      <c r="B91" s="602" t="s">
        <v>634</v>
      </c>
      <c r="C91" s="644">
        <v>0</v>
      </c>
    </row>
    <row r="92" spans="1:8">
      <c r="A92" s="641">
        <v>69</v>
      </c>
      <c r="B92" s="602" t="s">
        <v>635</v>
      </c>
      <c r="C92" s="644">
        <v>0</v>
      </c>
    </row>
    <row r="93" spans="1:8">
      <c r="A93" s="641">
        <v>70</v>
      </c>
      <c r="B93" s="602" t="s">
        <v>636</v>
      </c>
      <c r="C93" s="644">
        <v>0</v>
      </c>
    </row>
    <row r="94" spans="1:8">
      <c r="A94" s="641">
        <v>71</v>
      </c>
      <c r="B94" s="602" t="s">
        <v>213</v>
      </c>
      <c r="C94" s="644">
        <v>0</v>
      </c>
    </row>
    <row r="95" spans="1:8">
      <c r="A95" s="641">
        <v>72</v>
      </c>
      <c r="B95" s="602" t="s">
        <v>214</v>
      </c>
      <c r="C95" s="644">
        <v>0</v>
      </c>
    </row>
    <row r="96" spans="1:8">
      <c r="A96" s="641">
        <v>73</v>
      </c>
      <c r="B96" s="602" t="s">
        <v>215</v>
      </c>
      <c r="C96" s="644">
        <v>0</v>
      </c>
    </row>
    <row r="97" spans="1:3">
      <c r="A97" s="641">
        <v>74</v>
      </c>
      <c r="B97" s="602" t="s">
        <v>637</v>
      </c>
      <c r="C97" s="644">
        <v>0</v>
      </c>
    </row>
    <row r="98" spans="1:3">
      <c r="A98" s="641">
        <v>75</v>
      </c>
      <c r="B98" s="602" t="s">
        <v>638</v>
      </c>
      <c r="C98" s="644">
        <v>0</v>
      </c>
    </row>
    <row r="99" spans="1:3">
      <c r="A99" s="641">
        <v>76</v>
      </c>
      <c r="B99" s="602" t="s">
        <v>639</v>
      </c>
      <c r="C99" s="644">
        <v>0</v>
      </c>
    </row>
    <row r="100" spans="1:3">
      <c r="A100" s="641">
        <v>77</v>
      </c>
      <c r="B100" s="602" t="s">
        <v>640</v>
      </c>
      <c r="C100" s="644">
        <v>0</v>
      </c>
    </row>
    <row r="101" spans="1:3">
      <c r="A101" s="641">
        <v>78</v>
      </c>
      <c r="B101" s="602" t="s">
        <v>641</v>
      </c>
      <c r="C101" s="644">
        <v>0</v>
      </c>
    </row>
    <row r="102" spans="1:3">
      <c r="A102" s="641">
        <v>79</v>
      </c>
      <c r="B102" s="602" t="s">
        <v>642</v>
      </c>
      <c r="C102" s="644">
        <v>0</v>
      </c>
    </row>
    <row r="103" spans="1:3">
      <c r="A103" s="641">
        <v>80</v>
      </c>
      <c r="B103" s="602" t="s">
        <v>664</v>
      </c>
      <c r="C103" s="646">
        <f>AVERAGE(C90:C102)</f>
        <v>0</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2" orientation="portrait" r:id="rId2"/>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3"/>
  <sheetViews>
    <sheetView view="pageBreakPreview" zoomScale="60" zoomScaleNormal="115" workbookViewId="0">
      <selection sqref="A1:XFD1048576"/>
    </sheetView>
  </sheetViews>
  <sheetFormatPr defaultColWidth="11.453125" defaultRowHeight="12.5"/>
  <cols>
    <col min="1" max="1" width="5.26953125" style="1760" customWidth="1"/>
    <col min="2" max="2" width="46.54296875" style="1760" customWidth="1"/>
    <col min="3" max="3" width="2.1796875" style="1760" customWidth="1"/>
    <col min="4" max="4" width="6.81640625" style="1760" bestFit="1" customWidth="1"/>
    <col min="5" max="5" width="21.81640625" style="1760" bestFit="1" customWidth="1"/>
    <col min="6" max="6" width="18" style="1760" bestFit="1" customWidth="1"/>
    <col min="7" max="7" width="19" style="1760" bestFit="1" customWidth="1"/>
    <col min="8" max="8" width="15.7265625" style="1760" customWidth="1"/>
    <col min="9" max="16384" width="11.453125" style="1760"/>
  </cols>
  <sheetData>
    <row r="1" spans="1:8" ht="13">
      <c r="A1" s="1759"/>
      <c r="B1" s="2011" t="s">
        <v>343</v>
      </c>
      <c r="C1" s="2011"/>
      <c r="D1" s="2011"/>
      <c r="E1" s="2011"/>
      <c r="F1" s="1759"/>
      <c r="G1" s="1759"/>
      <c r="H1" s="1759"/>
    </row>
    <row r="2" spans="1:8" ht="13">
      <c r="A2" s="1759"/>
      <c r="B2" s="2012" t="s">
        <v>1271</v>
      </c>
      <c r="C2" s="2012"/>
      <c r="D2" s="2012"/>
      <c r="E2" s="2012"/>
      <c r="F2" s="1759"/>
      <c r="G2" s="1759"/>
      <c r="H2" s="1759"/>
    </row>
    <row r="3" spans="1:8">
      <c r="A3" s="1759"/>
      <c r="B3" s="1759"/>
      <c r="C3" s="1759"/>
      <c r="D3" s="1759"/>
      <c r="E3" s="1759"/>
      <c r="F3" s="1759"/>
      <c r="G3" s="1759"/>
      <c r="H3" s="1759"/>
    </row>
    <row r="4" spans="1:8" ht="13">
      <c r="A4" s="1759"/>
      <c r="B4" s="1771"/>
      <c r="C4" s="1771"/>
      <c r="D4" s="1771"/>
      <c r="E4" s="1771"/>
      <c r="F4" s="1759"/>
      <c r="G4" s="1759"/>
      <c r="H4" s="1759"/>
    </row>
    <row r="5" spans="1:8" ht="13">
      <c r="A5" s="1759"/>
      <c r="B5" s="1771"/>
      <c r="C5" s="1759"/>
      <c r="D5" s="1759"/>
      <c r="E5" s="1759"/>
      <c r="F5" s="1759"/>
      <c r="G5" s="1759"/>
      <c r="H5" s="1759"/>
    </row>
    <row r="6" spans="1:8" ht="13">
      <c r="A6" s="1759"/>
      <c r="B6" s="1759"/>
      <c r="C6" s="1759"/>
      <c r="D6" s="1759"/>
      <c r="E6" s="1772" t="s">
        <v>617</v>
      </c>
      <c r="F6" s="1772" t="s">
        <v>618</v>
      </c>
      <c r="G6" s="1772" t="s">
        <v>619</v>
      </c>
      <c r="H6" s="1759"/>
    </row>
    <row r="7" spans="1:8">
      <c r="A7" s="1759"/>
      <c r="B7" s="1759"/>
      <c r="C7" s="1759"/>
      <c r="D7" s="1759"/>
      <c r="E7" s="1770" t="s">
        <v>1272</v>
      </c>
      <c r="F7" s="1759"/>
      <c r="G7" s="1759"/>
      <c r="H7" s="1759"/>
    </row>
    <row r="8" spans="1:8">
      <c r="A8" s="1759"/>
      <c r="B8" s="1759"/>
      <c r="C8" s="1759"/>
      <c r="D8" s="1759"/>
      <c r="E8" s="1774"/>
      <c r="F8" s="1775"/>
      <c r="G8" s="1775"/>
      <c r="H8" s="1759"/>
    </row>
    <row r="9" spans="1:8" ht="13">
      <c r="A9" s="1759"/>
      <c r="B9" s="1776"/>
      <c r="C9" s="1777"/>
      <c r="D9" s="1778"/>
      <c r="E9" s="1779" t="s">
        <v>59</v>
      </c>
      <c r="F9" s="1779" t="s">
        <v>1273</v>
      </c>
      <c r="G9" s="1779" t="s">
        <v>1274</v>
      </c>
      <c r="H9" s="1759"/>
    </row>
    <row r="10" spans="1:8">
      <c r="A10" s="1780">
        <v>1</v>
      </c>
      <c r="B10" s="1781" t="s">
        <v>1275</v>
      </c>
      <c r="C10" s="1759"/>
      <c r="D10" s="1782">
        <v>560</v>
      </c>
      <c r="E10" s="1784">
        <v>9676011</v>
      </c>
      <c r="F10" s="1786"/>
      <c r="G10" s="1787">
        <f>E10-F10</f>
        <v>9676011</v>
      </c>
      <c r="H10" s="1759"/>
    </row>
    <row r="11" spans="1:8">
      <c r="A11" s="1780">
        <f>A10+1</f>
        <v>2</v>
      </c>
      <c r="B11" s="1781" t="s">
        <v>1276</v>
      </c>
      <c r="C11" s="1759"/>
      <c r="D11" s="1782">
        <v>561.1</v>
      </c>
      <c r="E11" s="1790">
        <v>0</v>
      </c>
      <c r="F11" s="1786"/>
      <c r="G11" s="1787">
        <f t="shared" ref="G11:G36" si="0">E11-F11</f>
        <v>0</v>
      </c>
      <c r="H11" s="1759"/>
    </row>
    <row r="12" spans="1:8">
      <c r="A12" s="1780">
        <f t="shared" ref="A12:A37" si="1">A11+1</f>
        <v>3</v>
      </c>
      <c r="B12" s="1781" t="s">
        <v>1277</v>
      </c>
      <c r="C12" s="1759"/>
      <c r="D12" s="1782">
        <v>561.20000000000005</v>
      </c>
      <c r="E12" s="1790">
        <v>92206</v>
      </c>
      <c r="F12" s="1177"/>
      <c r="G12" s="1787">
        <f t="shared" si="0"/>
        <v>92206</v>
      </c>
      <c r="H12" s="1759"/>
    </row>
    <row r="13" spans="1:8">
      <c r="A13" s="1780">
        <f t="shared" si="1"/>
        <v>4</v>
      </c>
      <c r="B13" s="1781" t="s">
        <v>1278</v>
      </c>
      <c r="C13" s="1759"/>
      <c r="D13" s="1782">
        <v>561.29999999999995</v>
      </c>
      <c r="E13" s="1790">
        <v>0</v>
      </c>
      <c r="F13" s="1177"/>
      <c r="G13" s="1787">
        <f t="shared" si="0"/>
        <v>0</v>
      </c>
      <c r="H13" s="1759"/>
    </row>
    <row r="14" spans="1:8">
      <c r="A14" s="1780">
        <f t="shared" si="1"/>
        <v>5</v>
      </c>
      <c r="B14" s="1781" t="s">
        <v>1279</v>
      </c>
      <c r="C14" s="1759"/>
      <c r="D14" s="1782">
        <v>561.4</v>
      </c>
      <c r="E14" s="1790">
        <v>60060</v>
      </c>
      <c r="F14" s="1177"/>
      <c r="G14" s="1787">
        <f t="shared" si="0"/>
        <v>60060</v>
      </c>
      <c r="H14" s="1759"/>
    </row>
    <row r="15" spans="1:8">
      <c r="A15" s="1780">
        <f t="shared" si="1"/>
        <v>6</v>
      </c>
      <c r="B15" s="1781" t="s">
        <v>1280</v>
      </c>
      <c r="C15" s="1759"/>
      <c r="D15" s="1782">
        <v>561.5</v>
      </c>
      <c r="E15" s="1790">
        <v>0</v>
      </c>
      <c r="F15" s="1177"/>
      <c r="G15" s="1787">
        <f t="shared" si="0"/>
        <v>0</v>
      </c>
      <c r="H15" s="1759"/>
    </row>
    <row r="16" spans="1:8">
      <c r="A16" s="1780">
        <f t="shared" si="1"/>
        <v>7</v>
      </c>
      <c r="B16" s="1781" t="s">
        <v>1281</v>
      </c>
      <c r="C16" s="1759"/>
      <c r="D16" s="1782">
        <v>561.6</v>
      </c>
      <c r="E16" s="1790">
        <v>0</v>
      </c>
      <c r="F16" s="1177"/>
      <c r="G16" s="1787">
        <f t="shared" si="0"/>
        <v>0</v>
      </c>
      <c r="H16" s="1759"/>
    </row>
    <row r="17" spans="1:8">
      <c r="A17" s="1780">
        <f t="shared" si="1"/>
        <v>8</v>
      </c>
      <c r="B17" s="1781" t="s">
        <v>1282</v>
      </c>
      <c r="C17" s="1759"/>
      <c r="D17" s="1792">
        <v>561.70000000000005</v>
      </c>
      <c r="E17" s="1790">
        <v>0</v>
      </c>
      <c r="F17" s="1177"/>
      <c r="G17" s="1787">
        <f t="shared" si="0"/>
        <v>0</v>
      </c>
      <c r="H17" s="1759"/>
    </row>
    <row r="18" spans="1:8">
      <c r="A18" s="1780">
        <f t="shared" si="1"/>
        <v>9</v>
      </c>
      <c r="B18" s="1781" t="s">
        <v>1283</v>
      </c>
      <c r="C18" s="1759"/>
      <c r="D18" s="1782">
        <v>561.79999999999995</v>
      </c>
      <c r="E18" s="1790">
        <v>16508</v>
      </c>
      <c r="F18" s="1177"/>
      <c r="G18" s="1787">
        <f t="shared" si="0"/>
        <v>16508</v>
      </c>
      <c r="H18" s="1759"/>
    </row>
    <row r="19" spans="1:8">
      <c r="A19" s="1780">
        <f t="shared" si="1"/>
        <v>10</v>
      </c>
      <c r="B19" s="1781" t="s">
        <v>1284</v>
      </c>
      <c r="C19" s="1759"/>
      <c r="D19" s="1782">
        <v>562</v>
      </c>
      <c r="E19" s="1790">
        <v>0</v>
      </c>
      <c r="F19" s="1177"/>
      <c r="G19" s="1787">
        <f t="shared" si="0"/>
        <v>0</v>
      </c>
    </row>
    <row r="20" spans="1:8">
      <c r="A20" s="1780">
        <f t="shared" si="1"/>
        <v>11</v>
      </c>
      <c r="B20" s="1781" t="s">
        <v>2145</v>
      </c>
      <c r="C20" s="1759"/>
      <c r="D20" s="1782">
        <v>562.1</v>
      </c>
      <c r="E20" s="1790"/>
      <c r="F20" s="1177"/>
      <c r="G20" s="1787">
        <f t="shared" si="0"/>
        <v>0</v>
      </c>
    </row>
    <row r="21" spans="1:8">
      <c r="A21" s="1780">
        <f t="shared" si="1"/>
        <v>12</v>
      </c>
      <c r="B21" s="1781" t="s">
        <v>1285</v>
      </c>
      <c r="C21" s="1759"/>
      <c r="D21" s="1782">
        <v>563</v>
      </c>
      <c r="E21" s="1790">
        <v>0</v>
      </c>
      <c r="F21" s="1177"/>
      <c r="G21" s="1787">
        <f t="shared" si="0"/>
        <v>0</v>
      </c>
      <c r="H21" s="1759"/>
    </row>
    <row r="22" spans="1:8">
      <c r="A22" s="1780">
        <f t="shared" si="1"/>
        <v>13</v>
      </c>
      <c r="B22" s="1781" t="s">
        <v>1286</v>
      </c>
      <c r="C22" s="1759"/>
      <c r="D22" s="1782">
        <v>564</v>
      </c>
      <c r="E22" s="1790">
        <v>0</v>
      </c>
      <c r="F22" s="1177"/>
      <c r="G22" s="1787">
        <f t="shared" si="0"/>
        <v>0</v>
      </c>
      <c r="H22" s="1759"/>
    </row>
    <row r="23" spans="1:8">
      <c r="A23" s="1780">
        <f t="shared" si="1"/>
        <v>14</v>
      </c>
      <c r="B23" s="1781" t="s">
        <v>1287</v>
      </c>
      <c r="C23" s="1759"/>
      <c r="D23" s="1782">
        <v>565</v>
      </c>
      <c r="E23" s="1790">
        <v>0</v>
      </c>
      <c r="F23" s="1177"/>
      <c r="G23" s="1787">
        <f t="shared" si="0"/>
        <v>0</v>
      </c>
      <c r="H23" s="1759"/>
    </row>
    <row r="24" spans="1:8">
      <c r="A24" s="1780">
        <f t="shared" si="1"/>
        <v>15</v>
      </c>
      <c r="B24" s="1781" t="s">
        <v>1288</v>
      </c>
      <c r="C24" s="1759"/>
      <c r="D24" s="1782">
        <v>566</v>
      </c>
      <c r="E24" s="1790">
        <v>4627933</v>
      </c>
      <c r="F24" s="1177">
        <f>+'5 - Cost Support 1'!Q255</f>
        <v>269391</v>
      </c>
      <c r="G24" s="1787">
        <f>E24-F24</f>
        <v>4358542</v>
      </c>
      <c r="H24" s="1759"/>
    </row>
    <row r="25" spans="1:8">
      <c r="A25" s="1780">
        <f t="shared" si="1"/>
        <v>16</v>
      </c>
      <c r="B25" s="1781" t="s">
        <v>1186</v>
      </c>
      <c r="C25" s="1759"/>
      <c r="D25" s="1782">
        <v>567</v>
      </c>
      <c r="E25" s="1790">
        <v>25986</v>
      </c>
      <c r="F25" s="1177"/>
      <c r="G25" s="1787">
        <f t="shared" si="0"/>
        <v>25986</v>
      </c>
      <c r="H25" s="1759"/>
    </row>
    <row r="26" spans="1:8">
      <c r="A26" s="1780">
        <f t="shared" si="1"/>
        <v>17</v>
      </c>
      <c r="B26" s="1781" t="s">
        <v>1289</v>
      </c>
      <c r="C26" s="1759"/>
      <c r="D26" s="1782">
        <v>568</v>
      </c>
      <c r="E26" s="1790"/>
      <c r="F26" s="1177"/>
      <c r="G26" s="1787">
        <f t="shared" si="0"/>
        <v>0</v>
      </c>
      <c r="H26" s="1759"/>
    </row>
    <row r="27" spans="1:8">
      <c r="A27" s="1780">
        <f t="shared" si="1"/>
        <v>18</v>
      </c>
      <c r="B27" s="1781" t="s">
        <v>1290</v>
      </c>
      <c r="C27" s="1759"/>
      <c r="D27" s="1782">
        <v>569</v>
      </c>
      <c r="E27" s="1790">
        <v>1618860</v>
      </c>
      <c r="F27" s="1177"/>
      <c r="G27" s="1787">
        <f t="shared" si="0"/>
        <v>1618860</v>
      </c>
      <c r="H27" s="1759"/>
    </row>
    <row r="28" spans="1:8">
      <c r="A28" s="1780">
        <f t="shared" si="1"/>
        <v>19</v>
      </c>
      <c r="B28" s="1781" t="s">
        <v>1291</v>
      </c>
      <c r="C28" s="1759"/>
      <c r="D28" s="1782">
        <v>569.1</v>
      </c>
      <c r="E28" s="1790"/>
      <c r="F28" s="1177"/>
      <c r="G28" s="1787">
        <f t="shared" si="0"/>
        <v>0</v>
      </c>
      <c r="H28" s="1759"/>
    </row>
    <row r="29" spans="1:8">
      <c r="A29" s="1780">
        <f t="shared" si="1"/>
        <v>20</v>
      </c>
      <c r="B29" s="1781" t="s">
        <v>1292</v>
      </c>
      <c r="C29" s="1759"/>
      <c r="D29" s="1782">
        <v>569.20000000000005</v>
      </c>
      <c r="E29" s="1790"/>
      <c r="F29" s="1177"/>
      <c r="G29" s="1787">
        <f t="shared" si="0"/>
        <v>0</v>
      </c>
      <c r="H29" s="1759"/>
    </row>
    <row r="30" spans="1:8">
      <c r="A30" s="1780">
        <f t="shared" si="1"/>
        <v>21</v>
      </c>
      <c r="B30" s="1781" t="s">
        <v>1293</v>
      </c>
      <c r="C30" s="1759"/>
      <c r="D30" s="1782">
        <v>569.29999999999995</v>
      </c>
      <c r="E30" s="1790"/>
      <c r="F30" s="1177"/>
      <c r="G30" s="1787">
        <f t="shared" si="0"/>
        <v>0</v>
      </c>
      <c r="H30" s="1759"/>
    </row>
    <row r="31" spans="1:8">
      <c r="A31" s="1780">
        <f t="shared" si="1"/>
        <v>22</v>
      </c>
      <c r="B31" s="1781" t="s">
        <v>1294</v>
      </c>
      <c r="C31" s="1759"/>
      <c r="D31" s="1782">
        <v>569.4</v>
      </c>
      <c r="E31" s="1790"/>
      <c r="F31" s="1177"/>
      <c r="G31" s="1787">
        <f t="shared" si="0"/>
        <v>0</v>
      </c>
      <c r="H31" s="1759"/>
    </row>
    <row r="32" spans="1:8">
      <c r="A32" s="1780">
        <f t="shared" si="1"/>
        <v>23</v>
      </c>
      <c r="B32" s="1781" t="s">
        <v>1295</v>
      </c>
      <c r="C32" s="1759"/>
      <c r="D32" s="1782">
        <v>570</v>
      </c>
      <c r="E32" s="1790">
        <v>10188140</v>
      </c>
      <c r="F32" s="1177"/>
      <c r="G32" s="1787">
        <f t="shared" si="0"/>
        <v>10188140</v>
      </c>
    </row>
    <row r="33" spans="1:8">
      <c r="A33" s="1780">
        <f t="shared" si="1"/>
        <v>24</v>
      </c>
      <c r="B33" s="1781" t="s">
        <v>2146</v>
      </c>
      <c r="C33" s="1759"/>
      <c r="D33" s="1782">
        <v>570.1</v>
      </c>
      <c r="E33" s="1790"/>
      <c r="F33" s="1177"/>
      <c r="G33" s="1787">
        <f t="shared" si="0"/>
        <v>0</v>
      </c>
    </row>
    <row r="34" spans="1:8">
      <c r="A34" s="1780">
        <f t="shared" si="1"/>
        <v>25</v>
      </c>
      <c r="B34" s="1781" t="s">
        <v>1296</v>
      </c>
      <c r="C34" s="1759"/>
      <c r="D34" s="1782">
        <v>571</v>
      </c>
      <c r="E34" s="1790">
        <v>6381275</v>
      </c>
      <c r="F34" s="1177"/>
      <c r="G34" s="1787">
        <f t="shared" si="0"/>
        <v>6381275</v>
      </c>
      <c r="H34" s="1759"/>
    </row>
    <row r="35" spans="1:8">
      <c r="A35" s="1780">
        <f t="shared" si="1"/>
        <v>26</v>
      </c>
      <c r="B35" s="1781" t="s">
        <v>1297</v>
      </c>
      <c r="C35" s="1759"/>
      <c r="D35" s="1782">
        <v>572</v>
      </c>
      <c r="E35" s="1790">
        <v>729296</v>
      </c>
      <c r="F35" s="1177"/>
      <c r="G35" s="1787">
        <f t="shared" si="0"/>
        <v>729296</v>
      </c>
      <c r="H35" s="1759"/>
    </row>
    <row r="36" spans="1:8">
      <c r="A36" s="1780">
        <f t="shared" si="1"/>
        <v>27</v>
      </c>
      <c r="B36" s="1793" t="s">
        <v>1298</v>
      </c>
      <c r="C36" s="1759"/>
      <c r="D36" s="1782">
        <v>573</v>
      </c>
      <c r="E36" s="1790">
        <v>1093613</v>
      </c>
      <c r="F36" s="1786"/>
      <c r="G36" s="1787">
        <f t="shared" si="0"/>
        <v>1093613</v>
      </c>
      <c r="H36" s="1413"/>
    </row>
    <row r="37" spans="1:8" ht="13">
      <c r="A37" s="1780">
        <f t="shared" si="1"/>
        <v>28</v>
      </c>
      <c r="B37" s="1771" t="s">
        <v>1556</v>
      </c>
      <c r="C37" s="1759"/>
      <c r="D37" s="1780"/>
      <c r="E37" s="1795">
        <f>SUM(E10:E36)</f>
        <v>34509888</v>
      </c>
      <c r="F37" s="1795">
        <f>SUM(F10:F36)</f>
        <v>269391</v>
      </c>
      <c r="G37" s="1795">
        <f>SUM(G10:G36)</f>
        <v>34240497</v>
      </c>
      <c r="H37" s="1759"/>
    </row>
    <row r="38" spans="1:8">
      <c r="A38" s="1780"/>
      <c r="B38" s="1759"/>
      <c r="C38" s="1759"/>
      <c r="D38" s="1759"/>
      <c r="E38" s="1759"/>
      <c r="F38" s="1759"/>
      <c r="G38" s="1759"/>
      <c r="H38" s="1759"/>
    </row>
    <row r="39" spans="1:8">
      <c r="A39" s="1759"/>
      <c r="B39" s="1759"/>
      <c r="C39" s="1759"/>
      <c r="D39" s="1759"/>
      <c r="E39" s="1435"/>
      <c r="F39" s="1799"/>
      <c r="G39" s="1799"/>
      <c r="H39" s="1759"/>
    </row>
    <row r="40" spans="1:8">
      <c r="A40" s="1780">
        <f>A37+1</f>
        <v>29</v>
      </c>
      <c r="B40" s="1435" t="s">
        <v>1299</v>
      </c>
      <c r="C40" s="1759"/>
      <c r="D40" s="1759"/>
      <c r="E40" s="1759"/>
      <c r="F40" s="1435" t="s">
        <v>59</v>
      </c>
      <c r="G40" s="1413">
        <f>+G37</f>
        <v>34240497</v>
      </c>
      <c r="H40" s="1759"/>
    </row>
    <row r="41" spans="1:8">
      <c r="A41" s="1780"/>
      <c r="B41" s="1759"/>
      <c r="C41" s="1759"/>
      <c r="D41" s="1759"/>
      <c r="E41" s="1759"/>
      <c r="F41" s="1759"/>
      <c r="G41" s="1801"/>
      <c r="H41" s="1802"/>
    </row>
    <row r="42" spans="1:8">
      <c r="A42" s="1759"/>
      <c r="B42" s="1759"/>
      <c r="C42" s="1759"/>
      <c r="D42" s="1759"/>
      <c r="E42" s="1759"/>
      <c r="F42" s="1759"/>
      <c r="G42" s="1759"/>
      <c r="H42" s="1759"/>
    </row>
    <row r="43" spans="1:8">
      <c r="A43" s="1759"/>
      <c r="B43" s="1759"/>
      <c r="C43" s="1759"/>
      <c r="D43" s="1759"/>
      <c r="E43" s="1759"/>
      <c r="F43" s="1759"/>
      <c r="G43" s="311"/>
      <c r="H43" s="1759"/>
    </row>
  </sheetData>
  <mergeCells count="2">
    <mergeCell ref="B1:E1"/>
    <mergeCell ref="B2:E2"/>
  </mergeCells>
  <pageMargins left="0.25" right="0.25" top="0.75" bottom="0.75" header="0.3" footer="0.3"/>
  <pageSetup orientation="landscape" r:id="rId1"/>
  <ignoredErrors>
    <ignoredError sqref="E10:G37"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N41"/>
  <sheetViews>
    <sheetView view="pageBreakPreview" zoomScale="60" zoomScaleNormal="100" workbookViewId="0">
      <selection activeCell="Y77" sqref="Y77"/>
    </sheetView>
  </sheetViews>
  <sheetFormatPr defaultColWidth="11.453125" defaultRowHeight="12.5"/>
  <cols>
    <col min="1" max="1" width="5.26953125" style="1760" customWidth="1"/>
    <col min="2" max="2" width="46.54296875" style="1760" customWidth="1"/>
    <col min="3" max="3" width="2.1796875" style="1760" customWidth="1"/>
    <col min="4" max="4" width="9.7265625" style="1760" customWidth="1"/>
    <col min="5" max="5" width="21.81640625" style="1760" bestFit="1" customWidth="1"/>
    <col min="6" max="6" width="2.81640625" style="1760" customWidth="1"/>
    <col min="7" max="7" width="19" style="1760" bestFit="1" customWidth="1"/>
    <col min="8" max="8" width="22.54296875" style="1760" bestFit="1" customWidth="1"/>
    <col min="9" max="9" width="18" style="1760" bestFit="1" customWidth="1"/>
    <col min="10" max="10" width="19" style="1760" bestFit="1" customWidth="1"/>
    <col min="11" max="11" width="5.54296875" style="1760" customWidth="1"/>
    <col min="12" max="16384" width="11.453125" style="1760"/>
  </cols>
  <sheetData>
    <row r="1" spans="1:13" ht="13">
      <c r="A1" s="1759"/>
      <c r="B1" s="2011" t="s">
        <v>343</v>
      </c>
      <c r="C1" s="2011"/>
      <c r="D1" s="2011"/>
      <c r="E1" s="2011"/>
      <c r="F1" s="2011"/>
      <c r="G1" s="2011"/>
      <c r="H1" s="1759"/>
      <c r="I1" s="1759"/>
      <c r="J1" s="1759"/>
      <c r="K1" s="1759"/>
      <c r="L1" s="1759"/>
    </row>
    <row r="2" spans="1:13" ht="13">
      <c r="A2" s="1759"/>
      <c r="B2" s="2012" t="s">
        <v>1300</v>
      </c>
      <c r="C2" s="2012"/>
      <c r="D2" s="2012"/>
      <c r="E2" s="2012"/>
      <c r="F2" s="2012"/>
      <c r="G2" s="2012"/>
      <c r="H2" s="1759"/>
      <c r="I2" s="1759"/>
      <c r="J2" s="1759"/>
      <c r="K2" s="1759"/>
      <c r="L2" s="1759"/>
    </row>
    <row r="3" spans="1:13">
      <c r="A3" s="1759"/>
      <c r="B3" s="1759"/>
      <c r="C3" s="1759"/>
      <c r="D3" s="1759"/>
      <c r="E3" s="1759"/>
      <c r="F3" s="1759"/>
      <c r="G3" s="1759"/>
      <c r="H3" s="1759"/>
      <c r="I3" s="1759"/>
      <c r="J3" s="1759"/>
      <c r="K3" s="1759"/>
      <c r="L3" s="1759"/>
    </row>
    <row r="4" spans="1:13" ht="13">
      <c r="A4" s="1759"/>
      <c r="B4" s="1771"/>
      <c r="C4" s="1771"/>
      <c r="D4" s="1771"/>
      <c r="E4" s="1771"/>
      <c r="F4" s="1771"/>
      <c r="G4" s="1771"/>
      <c r="H4" s="1759"/>
      <c r="I4" s="1759"/>
      <c r="J4" s="1759"/>
      <c r="K4" s="1759"/>
      <c r="L4" s="1759"/>
    </row>
    <row r="5" spans="1:13" ht="13">
      <c r="A5" s="1759"/>
      <c r="B5" s="1771"/>
      <c r="C5" s="1759"/>
      <c r="D5" s="1759"/>
      <c r="E5" s="1759"/>
      <c r="F5" s="1759"/>
      <c r="G5" s="1759"/>
      <c r="H5" s="1759"/>
      <c r="I5" s="1759"/>
      <c r="J5" s="1759"/>
      <c r="K5" s="1759"/>
      <c r="L5" s="1759"/>
    </row>
    <row r="6" spans="1:13" ht="13">
      <c r="A6" s="1759"/>
      <c r="B6" s="1759"/>
      <c r="C6" s="1759"/>
      <c r="D6" s="1759"/>
      <c r="E6" s="1772" t="s">
        <v>617</v>
      </c>
      <c r="F6" s="1759"/>
      <c r="G6" s="1772" t="s">
        <v>618</v>
      </c>
      <c r="H6" s="1772" t="s">
        <v>619</v>
      </c>
      <c r="I6" s="1773" t="s">
        <v>620</v>
      </c>
      <c r="J6" s="1772" t="s">
        <v>621</v>
      </c>
      <c r="K6" s="1759"/>
      <c r="L6" s="1759"/>
    </row>
    <row r="7" spans="1:13">
      <c r="A7" s="1759"/>
      <c r="B7" s="1759"/>
      <c r="C7" s="1759"/>
      <c r="D7" s="1759"/>
      <c r="E7" s="1770" t="s">
        <v>1301</v>
      </c>
      <c r="F7" s="1759"/>
      <c r="G7" s="1759"/>
      <c r="H7" s="1759"/>
      <c r="I7" s="1759"/>
      <c r="J7" s="1759"/>
      <c r="K7" s="1759"/>
      <c r="L7" s="1759"/>
    </row>
    <row r="8" spans="1:13">
      <c r="A8" s="1759"/>
      <c r="B8" s="1759"/>
      <c r="C8" s="1759"/>
      <c r="D8" s="1759"/>
      <c r="E8" s="1774"/>
      <c r="F8" s="1775"/>
      <c r="G8" s="1775"/>
      <c r="H8" s="1775"/>
      <c r="I8" s="1775"/>
      <c r="J8" s="1775"/>
      <c r="K8" s="1759"/>
      <c r="L8" s="1759"/>
    </row>
    <row r="9" spans="1:13" ht="13">
      <c r="A9" s="1759"/>
      <c r="B9" s="1776"/>
      <c r="C9" s="1777"/>
      <c r="D9" s="1778"/>
      <c r="E9" s="1779" t="s">
        <v>59</v>
      </c>
      <c r="F9" s="1779"/>
      <c r="G9" s="1779" t="s">
        <v>1302</v>
      </c>
      <c r="H9" s="1779" t="s">
        <v>1303</v>
      </c>
      <c r="I9" s="1779" t="s">
        <v>1273</v>
      </c>
      <c r="J9" s="1779" t="s">
        <v>1274</v>
      </c>
      <c r="K9" s="1759"/>
      <c r="L9" s="1759"/>
    </row>
    <row r="10" spans="1:13">
      <c r="A10" s="1780">
        <v>1</v>
      </c>
      <c r="B10" s="1781" t="s">
        <v>1304</v>
      </c>
      <c r="C10" s="1759"/>
      <c r="D10" s="1782">
        <v>920</v>
      </c>
      <c r="E10" s="1790">
        <f>SUM(G10:J10)</f>
        <v>6536601</v>
      </c>
      <c r="F10" s="1783"/>
      <c r="G10" s="1784">
        <v>6536601</v>
      </c>
      <c r="H10" s="1785"/>
      <c r="I10" s="1786"/>
      <c r="J10" s="1787">
        <v>0</v>
      </c>
      <c r="K10" s="1759"/>
      <c r="L10" s="1759"/>
      <c r="M10" s="1788"/>
    </row>
    <row r="11" spans="1:13">
      <c r="A11" s="1780">
        <f>A10+1</f>
        <v>2</v>
      </c>
      <c r="B11" s="1781" t="s">
        <v>1305</v>
      </c>
      <c r="C11" s="1759"/>
      <c r="D11" s="1782">
        <v>921</v>
      </c>
      <c r="E11" s="1784">
        <f t="shared" ref="E11:E23" si="0">SUM(G11:J11)</f>
        <v>6022344</v>
      </c>
      <c r="F11" s="1789"/>
      <c r="G11" s="1790">
        <v>6022344</v>
      </c>
      <c r="H11" s="1413"/>
      <c r="I11" s="1177"/>
      <c r="J11" s="1791">
        <v>0</v>
      </c>
      <c r="K11" s="1759"/>
      <c r="L11" s="1759"/>
      <c r="M11" s="1788"/>
    </row>
    <row r="12" spans="1:13">
      <c r="A12" s="1780">
        <f t="shared" ref="A12:A24" si="1">A11+1</f>
        <v>3</v>
      </c>
      <c r="B12" s="1781" t="s">
        <v>1306</v>
      </c>
      <c r="C12" s="1759"/>
      <c r="D12" s="1782">
        <v>922</v>
      </c>
      <c r="E12" s="1784">
        <f t="shared" si="0"/>
        <v>0</v>
      </c>
      <c r="F12" s="1789"/>
      <c r="G12" s="1790">
        <v>0</v>
      </c>
      <c r="H12" s="1413"/>
      <c r="I12" s="1177"/>
      <c r="J12" s="1791">
        <v>0</v>
      </c>
      <c r="K12" s="1759"/>
      <c r="L12" s="1759"/>
      <c r="M12" s="1788"/>
    </row>
    <row r="13" spans="1:13">
      <c r="A13" s="1780">
        <f t="shared" si="1"/>
        <v>4</v>
      </c>
      <c r="B13" s="1781" t="s">
        <v>1307</v>
      </c>
      <c r="C13" s="1759"/>
      <c r="D13" s="1782">
        <v>923</v>
      </c>
      <c r="E13" s="1784">
        <f t="shared" si="0"/>
        <v>126726167</v>
      </c>
      <c r="F13" s="1789"/>
      <c r="G13" s="1790">
        <f>126726167-I13</f>
        <v>125103735.76000001</v>
      </c>
      <c r="H13" s="982"/>
      <c r="I13" s="1177">
        <f>'5 - Cost Support 1'!H254+'5 - Cost Support 1'!I254+'5 - Cost Support 1'!J254+'5 - Cost Support 1'!K254+'5 - Cost Support 1'!L254+'5 - Cost Support 1'!N254+'5 - Cost Support 1'!O254+'5 - Cost Support 1'!P254+'5 - Cost Support 1'!Q254</f>
        <v>1622431.24</v>
      </c>
      <c r="J13" s="1791">
        <v>0</v>
      </c>
      <c r="K13" s="1759"/>
      <c r="L13" s="1759"/>
      <c r="M13" s="1788"/>
    </row>
    <row r="14" spans="1:13">
      <c r="A14" s="1780">
        <f t="shared" si="1"/>
        <v>5</v>
      </c>
      <c r="B14" s="1781" t="s">
        <v>1187</v>
      </c>
      <c r="C14" s="1759"/>
      <c r="D14" s="1782">
        <v>924</v>
      </c>
      <c r="E14" s="1784">
        <v>1683262</v>
      </c>
      <c r="F14" s="1789"/>
      <c r="G14" s="1790">
        <v>0</v>
      </c>
      <c r="H14" s="1177">
        <f>1683262</f>
        <v>1683262</v>
      </c>
      <c r="I14" s="1177">
        <v>0</v>
      </c>
      <c r="J14" s="1791">
        <v>0</v>
      </c>
      <c r="K14" s="1759"/>
      <c r="L14" s="1759"/>
      <c r="M14" s="1788"/>
    </row>
    <row r="15" spans="1:13">
      <c r="A15" s="1780">
        <f t="shared" si="1"/>
        <v>6</v>
      </c>
      <c r="B15" s="1781" t="s">
        <v>1308</v>
      </c>
      <c r="C15" s="1759"/>
      <c r="D15" s="1782">
        <v>925</v>
      </c>
      <c r="E15" s="1784">
        <f t="shared" si="0"/>
        <v>4280588</v>
      </c>
      <c r="F15" s="1789"/>
      <c r="G15" s="1790">
        <v>4280588</v>
      </c>
      <c r="H15" s="1413"/>
      <c r="I15" s="1177"/>
      <c r="J15" s="1791">
        <v>0</v>
      </c>
      <c r="K15" s="1759"/>
      <c r="L15" s="1759"/>
      <c r="M15" s="1788"/>
    </row>
    <row r="16" spans="1:13">
      <c r="A16" s="1780">
        <f t="shared" si="1"/>
        <v>7</v>
      </c>
      <c r="B16" s="1781" t="s">
        <v>1309</v>
      </c>
      <c r="C16" s="1759"/>
      <c r="D16" s="1792">
        <v>926</v>
      </c>
      <c r="E16" s="1784">
        <f t="shared" si="0"/>
        <v>14399487</v>
      </c>
      <c r="F16" s="1789"/>
      <c r="G16" s="1790">
        <v>14399487</v>
      </c>
      <c r="H16" s="1413"/>
      <c r="I16" s="1177"/>
      <c r="J16" s="1791">
        <v>0</v>
      </c>
      <c r="K16" s="1759"/>
      <c r="L16" s="1759"/>
      <c r="M16" s="1788"/>
    </row>
    <row r="17" spans="1:14">
      <c r="A17" s="1780">
        <f t="shared" si="1"/>
        <v>8</v>
      </c>
      <c r="B17" s="1781" t="s">
        <v>1310</v>
      </c>
      <c r="C17" s="1759"/>
      <c r="D17" s="1782">
        <v>927</v>
      </c>
      <c r="E17" s="1784">
        <f t="shared" si="0"/>
        <v>0</v>
      </c>
      <c r="F17" s="1789"/>
      <c r="G17" s="1790">
        <v>0</v>
      </c>
      <c r="H17" s="1413"/>
      <c r="I17" s="1177"/>
      <c r="J17" s="1791">
        <v>0</v>
      </c>
      <c r="K17" s="1759"/>
      <c r="L17" s="1759"/>
      <c r="M17" s="1788"/>
    </row>
    <row r="18" spans="1:14">
      <c r="A18" s="1780">
        <f t="shared" si="1"/>
        <v>9</v>
      </c>
      <c r="B18" s="1781" t="s">
        <v>1311</v>
      </c>
      <c r="C18" s="1759"/>
      <c r="D18" s="1782">
        <v>928</v>
      </c>
      <c r="E18" s="1784">
        <f>SUM(G18:J18)</f>
        <v>3098865</v>
      </c>
      <c r="F18" s="1789"/>
      <c r="G18" s="1790">
        <v>0</v>
      </c>
      <c r="H18" s="1413"/>
      <c r="I18" s="1177">
        <f>3098865-J18</f>
        <v>2681372</v>
      </c>
      <c r="J18" s="1177">
        <f>322317+5134+90042</f>
        <v>417493</v>
      </c>
      <c r="K18" s="1759"/>
      <c r="L18" s="1759"/>
      <c r="M18" s="1788"/>
    </row>
    <row r="19" spans="1:14">
      <c r="A19" s="1780">
        <f t="shared" si="1"/>
        <v>10</v>
      </c>
      <c r="B19" s="1781" t="s">
        <v>1312</v>
      </c>
      <c r="C19" s="1759"/>
      <c r="D19" s="1782">
        <v>929</v>
      </c>
      <c r="E19" s="1784">
        <f t="shared" si="0"/>
        <v>0</v>
      </c>
      <c r="F19" s="1789"/>
      <c r="G19" s="1790">
        <v>0</v>
      </c>
      <c r="H19" s="1413"/>
      <c r="I19" s="1177"/>
      <c r="J19" s="1791">
        <v>0</v>
      </c>
      <c r="K19" s="1759"/>
      <c r="L19" s="1759"/>
      <c r="M19" s="1788"/>
    </row>
    <row r="20" spans="1:14">
      <c r="A20" s="1780">
        <f t="shared" si="1"/>
        <v>11</v>
      </c>
      <c r="B20" s="1781" t="s">
        <v>1313</v>
      </c>
      <c r="C20" s="1759"/>
      <c r="D20" s="1782">
        <v>930.1</v>
      </c>
      <c r="E20" s="1784">
        <f t="shared" si="0"/>
        <v>1404879</v>
      </c>
      <c r="F20" s="1789"/>
      <c r="G20" s="1790">
        <v>0</v>
      </c>
      <c r="H20" s="1413"/>
      <c r="I20" s="1177">
        <v>1404879</v>
      </c>
      <c r="J20" s="1791">
        <v>0</v>
      </c>
      <c r="K20" s="1759"/>
      <c r="L20" s="1759"/>
      <c r="M20" s="1788"/>
    </row>
    <row r="21" spans="1:14">
      <c r="A21" s="1780">
        <f t="shared" si="1"/>
        <v>12</v>
      </c>
      <c r="B21" s="1781" t="s">
        <v>1314</v>
      </c>
      <c r="C21" s="1759"/>
      <c r="D21" s="1782">
        <v>930.2</v>
      </c>
      <c r="E21" s="1784">
        <f t="shared" si="0"/>
        <v>1185801</v>
      </c>
      <c r="F21" s="1789"/>
      <c r="G21" s="1790">
        <f>1185801-I21</f>
        <v>1185801</v>
      </c>
      <c r="H21" s="1413"/>
      <c r="I21" s="1177">
        <f>'5 - Cost Support 1'!M254</f>
        <v>0</v>
      </c>
      <c r="J21" s="1791">
        <v>0</v>
      </c>
      <c r="K21" s="1759"/>
      <c r="L21" s="1759"/>
      <c r="M21" s="1788"/>
    </row>
    <row r="22" spans="1:14">
      <c r="A22" s="1780">
        <f t="shared" si="1"/>
        <v>13</v>
      </c>
      <c r="B22" s="1781" t="s">
        <v>1186</v>
      </c>
      <c r="C22" s="1759"/>
      <c r="D22" s="1782">
        <v>931</v>
      </c>
      <c r="E22" s="1784">
        <f t="shared" si="0"/>
        <v>0</v>
      </c>
      <c r="F22" s="1789"/>
      <c r="G22" s="1790">
        <v>0</v>
      </c>
      <c r="H22" s="1413"/>
      <c r="I22" s="1177"/>
      <c r="J22" s="1791">
        <v>0</v>
      </c>
      <c r="K22" s="1759"/>
      <c r="L22" s="1759"/>
      <c r="M22" s="1788"/>
    </row>
    <row r="23" spans="1:14">
      <c r="A23" s="1780">
        <f t="shared" si="1"/>
        <v>14</v>
      </c>
      <c r="B23" s="1793" t="s">
        <v>1315</v>
      </c>
      <c r="C23" s="1759"/>
      <c r="D23" s="1778">
        <v>935</v>
      </c>
      <c r="E23" s="1784">
        <f t="shared" si="0"/>
        <v>565464</v>
      </c>
      <c r="F23" s="1789"/>
      <c r="G23" s="1784">
        <v>565464</v>
      </c>
      <c r="H23" s="1785"/>
      <c r="I23" s="1786"/>
      <c r="J23" s="1794">
        <v>0</v>
      </c>
      <c r="K23" s="1413"/>
      <c r="L23" s="1759"/>
      <c r="M23" s="1788"/>
    </row>
    <row r="24" spans="1:14" ht="13">
      <c r="A24" s="1780">
        <f t="shared" si="1"/>
        <v>15</v>
      </c>
      <c r="B24" s="1771" t="s">
        <v>1316</v>
      </c>
      <c r="C24" s="1759"/>
      <c r="D24" s="1780"/>
      <c r="E24" s="1795">
        <f>SUM(E10:E23)</f>
        <v>165903458</v>
      </c>
      <c r="F24" s="1796"/>
      <c r="G24" s="1795">
        <f>SUM(G10:G23)</f>
        <v>158094020.75999999</v>
      </c>
      <c r="H24" s="1795">
        <f t="shared" ref="H24:J24" si="2">SUM(H10:H23)</f>
        <v>1683262</v>
      </c>
      <c r="I24" s="1795">
        <f t="shared" si="2"/>
        <v>5708682.2400000002</v>
      </c>
      <c r="J24" s="1795">
        <f t="shared" si="2"/>
        <v>417493</v>
      </c>
      <c r="K24" s="1759"/>
      <c r="L24" s="1759"/>
      <c r="N24" s="1797"/>
    </row>
    <row r="25" spans="1:14">
      <c r="A25" s="1780"/>
      <c r="B25" s="1759"/>
      <c r="C25" s="1759"/>
      <c r="D25" s="1759"/>
      <c r="E25" s="1759"/>
      <c r="F25" s="1759"/>
      <c r="G25" s="1759"/>
      <c r="H25" s="1759"/>
      <c r="I25" s="1759"/>
      <c r="J25" s="1759"/>
      <c r="K25" s="1759"/>
      <c r="L25" s="1759"/>
      <c r="N25" s="1798"/>
    </row>
    <row r="26" spans="1:14">
      <c r="A26" s="1780">
        <f>A24+1</f>
        <v>16</v>
      </c>
      <c r="B26" s="1759"/>
      <c r="C26" s="1759"/>
      <c r="D26" s="1759"/>
      <c r="E26" s="1435" t="s">
        <v>1215</v>
      </c>
      <c r="F26" s="1759"/>
      <c r="G26" s="1799">
        <f>+'ATT H-9A'!H24</f>
        <v>0.14248734844503233</v>
      </c>
      <c r="H26" s="1799">
        <f>+'ATT H-9A'!H48</f>
        <v>0.18096433232447492</v>
      </c>
      <c r="I26" s="1799">
        <v>0</v>
      </c>
      <c r="J26" s="1799">
        <v>1</v>
      </c>
      <c r="K26" s="1759"/>
      <c r="L26" s="1759"/>
    </row>
    <row r="27" spans="1:14" ht="14.5">
      <c r="A27" s="1780">
        <f t="shared" ref="A27:A28" si="3">A26+1</f>
        <v>17</v>
      </c>
      <c r="B27" s="1759"/>
      <c r="C27" s="1759"/>
      <c r="D27" s="1759"/>
      <c r="E27" s="1435" t="s">
        <v>2162</v>
      </c>
      <c r="F27" s="1759"/>
      <c r="G27" s="1413">
        <f>G24*G26</f>
        <v>22526397.823106293</v>
      </c>
      <c r="H27" s="1413">
        <f t="shared" ref="H27:J27" si="4">H24*H26</f>
        <v>304610.38395716029</v>
      </c>
      <c r="I27" s="1413">
        <f t="shared" si="4"/>
        <v>0</v>
      </c>
      <c r="J27" s="1413">
        <f t="shared" si="4"/>
        <v>417493</v>
      </c>
      <c r="K27" s="1759"/>
      <c r="L27" s="1759"/>
    </row>
    <row r="28" spans="1:14" ht="14.5">
      <c r="A28" s="1780">
        <f t="shared" si="3"/>
        <v>18</v>
      </c>
      <c r="B28" s="1759"/>
      <c r="C28" s="1759"/>
      <c r="D28" s="1759"/>
      <c r="E28" s="1759"/>
      <c r="F28" s="1759"/>
      <c r="G28" s="1800"/>
      <c r="H28" s="1759"/>
      <c r="I28" s="1435" t="s">
        <v>2163</v>
      </c>
      <c r="J28" s="1801">
        <f>SUM(G27:J27)</f>
        <v>23248501.207063451</v>
      </c>
      <c r="K28" s="1802"/>
      <c r="L28" s="1759"/>
    </row>
    <row r="29" spans="1:14">
      <c r="A29" s="1759"/>
      <c r="B29" s="1759"/>
      <c r="C29" s="1759"/>
      <c r="D29" s="1759"/>
      <c r="E29" s="1759"/>
      <c r="F29" s="1759"/>
      <c r="G29" s="1803"/>
      <c r="H29" s="1144"/>
      <c r="I29" s="1759"/>
      <c r="J29" s="1797"/>
      <c r="K29" s="1759"/>
      <c r="L29" s="1759"/>
    </row>
    <row r="30" spans="1:14" ht="14.5">
      <c r="A30" s="1759" t="s">
        <v>2164</v>
      </c>
      <c r="B30" s="1759"/>
      <c r="C30" s="1759"/>
      <c r="D30" s="1759"/>
      <c r="E30" s="1759"/>
      <c r="F30" s="1759"/>
      <c r="G30" s="1144"/>
      <c r="H30" s="1759"/>
      <c r="I30" s="1759"/>
      <c r="J30" s="1797"/>
      <c r="K30" s="1759"/>
      <c r="L30" s="1759"/>
    </row>
    <row r="31" spans="1:14" ht="14.5">
      <c r="A31" s="1759" t="s">
        <v>2165</v>
      </c>
      <c r="B31" s="1759"/>
      <c r="C31" s="1759"/>
      <c r="D31" s="1759"/>
      <c r="E31" s="1759"/>
      <c r="F31" s="1759"/>
      <c r="G31" s="1413"/>
      <c r="H31" s="1759"/>
      <c r="I31" s="1759"/>
      <c r="J31" s="1801"/>
      <c r="K31" s="1759"/>
      <c r="L31" s="1759"/>
    </row>
    <row r="32" spans="1:14">
      <c r="A32" s="1759"/>
      <c r="B32" s="1759"/>
      <c r="C32" s="1759"/>
      <c r="D32" s="1759"/>
      <c r="E32" s="1759"/>
      <c r="F32" s="1759"/>
      <c r="G32" s="1413"/>
      <c r="H32" s="1759"/>
      <c r="I32" s="1759"/>
      <c r="J32" s="1144"/>
      <c r="K32" s="1759"/>
      <c r="L32" s="1759"/>
    </row>
    <row r="33" spans="7:10">
      <c r="G33" s="1804"/>
      <c r="J33" s="1805"/>
    </row>
    <row r="34" spans="7:10">
      <c r="G34" s="1804"/>
    </row>
    <row r="35" spans="7:10">
      <c r="G35" s="1804"/>
    </row>
    <row r="36" spans="7:10">
      <c r="G36" s="1804"/>
    </row>
    <row r="37" spans="7:10">
      <c r="G37" s="1804"/>
    </row>
    <row r="38" spans="7:10">
      <c r="G38" s="1804"/>
    </row>
    <row r="39" spans="7:10">
      <c r="G39" s="1804"/>
    </row>
    <row r="40" spans="7:10">
      <c r="G40" s="1804"/>
    </row>
    <row r="41" spans="7:10">
      <c r="G41" s="1804"/>
    </row>
  </sheetData>
  <mergeCells count="2">
    <mergeCell ref="B1:G1"/>
    <mergeCell ref="B2:G2"/>
  </mergeCells>
  <pageMargins left="0.25" right="0.25" top="0.75" bottom="0.75" header="0.3" footer="0.3"/>
  <pageSetup scale="80" fitToHeight="2" orientation="landscape" r:id="rId1"/>
  <ignoredErrors>
    <ignoredError sqref="E10:J24"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91A78-B540-4289-9328-8587541946D8}">
  <dimension ref="A1:G75"/>
  <sheetViews>
    <sheetView tabSelected="1" view="pageBreakPreview" topLeftCell="A33" zoomScale="60" zoomScaleNormal="110" workbookViewId="0">
      <selection activeCell="B33" sqref="B33"/>
    </sheetView>
  </sheetViews>
  <sheetFormatPr defaultColWidth="9.1796875" defaultRowHeight="14"/>
  <cols>
    <col min="1" max="1" width="25.1796875" style="951" customWidth="1"/>
    <col min="2" max="2" width="38.26953125" style="951" customWidth="1"/>
    <col min="3" max="3" width="18" style="951" customWidth="1"/>
    <col min="4" max="4" width="10.81640625" style="951" customWidth="1"/>
    <col min="5" max="5" width="18.81640625" style="951" customWidth="1"/>
    <col min="6" max="6" width="9.1796875" style="951" customWidth="1"/>
    <col min="7" max="16384" width="9.1796875" style="951"/>
  </cols>
  <sheetData>
    <row r="1" spans="1:7">
      <c r="A1" s="2013" t="s">
        <v>343</v>
      </c>
      <c r="B1" s="2013"/>
      <c r="C1" s="2013"/>
    </row>
    <row r="2" spans="1:7">
      <c r="A2" s="2014" t="s">
        <v>1317</v>
      </c>
      <c r="B2" s="2014"/>
      <c r="C2" s="2014"/>
    </row>
    <row r="3" spans="1:7">
      <c r="A3" s="952"/>
      <c r="B3" s="952"/>
      <c r="C3" s="952"/>
    </row>
    <row r="4" spans="1:7">
      <c r="A4" s="952"/>
      <c r="B4" s="952"/>
      <c r="C4" s="952"/>
    </row>
    <row r="5" spans="1:7">
      <c r="A5" s="953" t="s">
        <v>216</v>
      </c>
      <c r="B5" s="953" t="s">
        <v>217</v>
      </c>
      <c r="C5" s="954" t="s">
        <v>1318</v>
      </c>
      <c r="D5" s="955"/>
    </row>
    <row r="6" spans="1:7">
      <c r="A6" s="952"/>
      <c r="B6" s="956"/>
      <c r="C6" s="957"/>
      <c r="D6" s="955"/>
    </row>
    <row r="7" spans="1:7">
      <c r="A7" s="952"/>
      <c r="B7" s="956"/>
      <c r="C7" s="957" t="s">
        <v>1319</v>
      </c>
      <c r="D7" s="955"/>
    </row>
    <row r="8" spans="1:7">
      <c r="A8" s="953" t="s">
        <v>1320</v>
      </c>
      <c r="B8" s="953" t="s">
        <v>1321</v>
      </c>
      <c r="C8" s="957" t="s">
        <v>1322</v>
      </c>
      <c r="D8" s="955"/>
    </row>
    <row r="9" spans="1:7">
      <c r="A9" s="953"/>
      <c r="B9" s="958"/>
      <c r="C9" s="959"/>
      <c r="D9" s="955"/>
    </row>
    <row r="10" spans="1:7">
      <c r="A10" s="953"/>
      <c r="B10" s="958"/>
      <c r="C10" s="1751"/>
      <c r="D10" s="955"/>
    </row>
    <row r="11" spans="1:7">
      <c r="A11" s="960"/>
      <c r="B11" s="952"/>
      <c r="C11" s="961"/>
      <c r="D11" s="955"/>
    </row>
    <row r="12" spans="1:7">
      <c r="A12" s="960"/>
      <c r="B12" s="962" t="s">
        <v>1323</v>
      </c>
      <c r="C12" s="1719"/>
      <c r="E12" s="1718"/>
    </row>
    <row r="13" spans="1:7">
      <c r="A13" s="960"/>
      <c r="B13" s="962"/>
      <c r="C13" s="955"/>
      <c r="E13" s="963"/>
    </row>
    <row r="14" spans="1:7">
      <c r="A14" s="964">
        <v>350.2</v>
      </c>
      <c r="B14" s="964" t="s">
        <v>1324</v>
      </c>
      <c r="C14" s="978">
        <v>1.55E-2</v>
      </c>
      <c r="D14" s="955"/>
      <c r="G14" s="1764"/>
    </row>
    <row r="15" spans="1:7">
      <c r="A15" s="964">
        <v>352</v>
      </c>
      <c r="B15" s="964" t="s">
        <v>1325</v>
      </c>
      <c r="C15" s="978">
        <v>1.3599999999999999E-2</v>
      </c>
      <c r="D15" s="955"/>
      <c r="G15" s="1764"/>
    </row>
    <row r="16" spans="1:7">
      <c r="A16" s="964">
        <v>353</v>
      </c>
      <c r="B16" s="964" t="s">
        <v>1326</v>
      </c>
      <c r="C16" s="978">
        <v>1.84E-2</v>
      </c>
      <c r="D16" s="955"/>
      <c r="G16" s="1764"/>
    </row>
    <row r="17" spans="1:7">
      <c r="A17" s="964">
        <v>354</v>
      </c>
      <c r="B17" s="964" t="s">
        <v>1327</v>
      </c>
      <c r="C17" s="978">
        <v>2.2200000000000001E-2</v>
      </c>
      <c r="D17" s="955"/>
      <c r="G17" s="1764"/>
    </row>
    <row r="18" spans="1:7">
      <c r="A18" s="964">
        <v>355</v>
      </c>
      <c r="B18" s="964" t="s">
        <v>1328</v>
      </c>
      <c r="C18" s="978">
        <v>2.4199999999999999E-2</v>
      </c>
      <c r="D18" s="955"/>
      <c r="G18" s="1764"/>
    </row>
    <row r="19" spans="1:7">
      <c r="A19" s="964">
        <v>356</v>
      </c>
      <c r="B19" s="964" t="s">
        <v>1329</v>
      </c>
      <c r="C19" s="978">
        <v>2.7300000000000001E-2</v>
      </c>
      <c r="D19" s="955"/>
      <c r="G19" s="1764"/>
    </row>
    <row r="20" spans="1:7">
      <c r="A20" s="964">
        <v>357</v>
      </c>
      <c r="B20" s="964" t="s">
        <v>1330</v>
      </c>
      <c r="C20" s="978">
        <v>1.4800000000000001E-2</v>
      </c>
      <c r="D20" s="955"/>
      <c r="G20" s="1764"/>
    </row>
    <row r="21" spans="1:7">
      <c r="A21" s="964">
        <v>358</v>
      </c>
      <c r="B21" s="964" t="s">
        <v>1331</v>
      </c>
      <c r="C21" s="978">
        <v>2.0799999999999999E-2</v>
      </c>
      <c r="D21" s="955"/>
      <c r="G21" s="1764"/>
    </row>
    <row r="22" spans="1:7">
      <c r="A22" s="964">
        <v>359</v>
      </c>
      <c r="B22" s="964" t="s">
        <v>1332</v>
      </c>
      <c r="C22" s="978">
        <v>1.01E-2</v>
      </c>
      <c r="D22" s="955"/>
      <c r="G22" s="1764"/>
    </row>
    <row r="23" spans="1:7">
      <c r="A23" s="964"/>
      <c r="B23" s="964"/>
      <c r="C23" s="957"/>
      <c r="D23" s="955"/>
    </row>
    <row r="24" spans="1:7">
      <c r="A24" s="960"/>
      <c r="B24" s="962" t="s">
        <v>1333</v>
      </c>
      <c r="C24" s="963"/>
      <c r="D24" s="955"/>
    </row>
    <row r="25" spans="1:7">
      <c r="A25" s="964" t="s">
        <v>1963</v>
      </c>
      <c r="B25" s="964" t="s">
        <v>1325</v>
      </c>
      <c r="C25" s="978">
        <v>1.602E-2</v>
      </c>
      <c r="D25" s="955"/>
      <c r="G25" s="1763"/>
    </row>
    <row r="26" spans="1:7">
      <c r="A26" s="964" t="s">
        <v>1964</v>
      </c>
      <c r="B26" s="964" t="s">
        <v>1325</v>
      </c>
      <c r="C26" s="978">
        <v>1.9379999999999998E-2</v>
      </c>
      <c r="D26" s="955"/>
      <c r="G26" s="1763"/>
    </row>
    <row r="27" spans="1:7">
      <c r="A27" s="964" t="s">
        <v>1334</v>
      </c>
      <c r="B27" s="964" t="s">
        <v>1325</v>
      </c>
      <c r="C27" s="978">
        <v>2.6599999999999999E-2</v>
      </c>
      <c r="D27" s="955"/>
      <c r="G27" s="1763"/>
    </row>
    <row r="28" spans="1:7">
      <c r="A28" s="964" t="s">
        <v>1335</v>
      </c>
      <c r="B28" s="964" t="s">
        <v>1325</v>
      </c>
      <c r="C28" s="978">
        <v>0.13969999999999999</v>
      </c>
      <c r="D28" s="955"/>
      <c r="G28" s="1763"/>
    </row>
    <row r="29" spans="1:7">
      <c r="A29" s="964" t="s">
        <v>1336</v>
      </c>
      <c r="B29" s="964" t="s">
        <v>1325</v>
      </c>
      <c r="C29" s="978">
        <v>4.3999999999999997E-2</v>
      </c>
      <c r="D29" s="955"/>
      <c r="G29" s="1763"/>
    </row>
    <row r="30" spans="1:7">
      <c r="A30" s="964" t="s">
        <v>1337</v>
      </c>
      <c r="B30" s="964" t="s">
        <v>1338</v>
      </c>
      <c r="C30" s="978">
        <v>6.6699999999999995E-2</v>
      </c>
      <c r="D30" s="955"/>
      <c r="G30" s="1763"/>
    </row>
    <row r="31" spans="1:7">
      <c r="A31" s="964" t="s">
        <v>1339</v>
      </c>
      <c r="B31" s="964" t="s">
        <v>1338</v>
      </c>
      <c r="C31" s="978">
        <v>6.6699999999999995E-2</v>
      </c>
      <c r="D31" s="955"/>
      <c r="G31" s="1763"/>
    </row>
    <row r="32" spans="1:7">
      <c r="A32" s="964" t="s">
        <v>1340</v>
      </c>
      <c r="B32" s="964" t="s">
        <v>1338</v>
      </c>
      <c r="C32" s="978">
        <v>6.6600000000000006E-2</v>
      </c>
      <c r="D32" s="955"/>
      <c r="G32" s="1763"/>
    </row>
    <row r="33" spans="1:7">
      <c r="A33" s="964" t="s">
        <v>1341</v>
      </c>
      <c r="B33" s="964" t="s">
        <v>1338</v>
      </c>
      <c r="C33" s="978">
        <v>0.10730000000000001</v>
      </c>
      <c r="D33" s="955"/>
      <c r="G33" s="1763"/>
    </row>
    <row r="34" spans="1:7">
      <c r="A34" s="964" t="s">
        <v>1342</v>
      </c>
      <c r="B34" s="964" t="s">
        <v>1338</v>
      </c>
      <c r="C34" s="978">
        <v>0.1</v>
      </c>
      <c r="D34" s="955"/>
      <c r="G34" s="1763"/>
    </row>
    <row r="35" spans="1:7">
      <c r="A35" s="964" t="s">
        <v>1343</v>
      </c>
      <c r="B35" s="964" t="s">
        <v>1338</v>
      </c>
      <c r="C35" s="978">
        <v>0.1956</v>
      </c>
      <c r="D35" s="955"/>
      <c r="G35" s="1763"/>
    </row>
    <row r="36" spans="1:7">
      <c r="A36" s="964" t="s">
        <v>1344</v>
      </c>
      <c r="B36" s="964" t="s">
        <v>1345</v>
      </c>
      <c r="C36" s="978">
        <v>0.04</v>
      </c>
      <c r="D36" s="955"/>
      <c r="G36" s="1763"/>
    </row>
    <row r="37" spans="1:7">
      <c r="A37" s="964" t="s">
        <v>1346</v>
      </c>
      <c r="B37" s="964" t="s">
        <v>1345</v>
      </c>
      <c r="C37" s="978">
        <v>4.6699999999999998E-2</v>
      </c>
      <c r="D37" s="955"/>
      <c r="G37" s="1763"/>
    </row>
    <row r="38" spans="1:7">
      <c r="A38" s="964" t="s">
        <v>1347</v>
      </c>
      <c r="B38" s="964" t="s">
        <v>1348</v>
      </c>
      <c r="C38" s="978">
        <v>0.04</v>
      </c>
      <c r="D38" s="955"/>
      <c r="G38" s="1763"/>
    </row>
    <row r="39" spans="1:7">
      <c r="A39" s="964" t="s">
        <v>1349</v>
      </c>
      <c r="B39" s="964" t="s">
        <v>1348</v>
      </c>
      <c r="C39" s="978">
        <v>6.4500000000000002E-2</v>
      </c>
      <c r="D39" s="955"/>
      <c r="G39" s="1763"/>
    </row>
    <row r="40" spans="1:7">
      <c r="A40" s="964" t="s">
        <v>1350</v>
      </c>
      <c r="B40" s="964" t="s">
        <v>1351</v>
      </c>
      <c r="C40" s="978">
        <v>6.6699999999999995E-2</v>
      </c>
      <c r="D40" s="955"/>
      <c r="G40" s="1763"/>
    </row>
    <row r="41" spans="1:7">
      <c r="A41" s="964" t="s">
        <v>1352</v>
      </c>
      <c r="B41" s="964" t="s">
        <v>1351</v>
      </c>
      <c r="C41" s="978">
        <v>5.7000000000000002E-2</v>
      </c>
      <c r="D41" s="955"/>
      <c r="G41" s="1763"/>
    </row>
    <row r="42" spans="1:7">
      <c r="A42" s="964" t="s">
        <v>1353</v>
      </c>
      <c r="B42" s="964" t="s">
        <v>1354</v>
      </c>
      <c r="C42" s="978">
        <v>2.24E-2</v>
      </c>
      <c r="D42" s="955"/>
      <c r="G42" s="1763"/>
    </row>
    <row r="43" spans="1:7">
      <c r="A43" s="964" t="s">
        <v>1355</v>
      </c>
      <c r="B43" s="964" t="s">
        <v>1356</v>
      </c>
      <c r="C43" s="978">
        <v>1.2880000000000001E-2</v>
      </c>
      <c r="D43" s="955"/>
      <c r="G43" s="1763"/>
    </row>
    <row r="44" spans="1:7">
      <c r="A44" s="964" t="s">
        <v>1393</v>
      </c>
      <c r="B44" s="964" t="s">
        <v>1356</v>
      </c>
      <c r="C44" s="978">
        <v>6.6299999999999998E-2</v>
      </c>
      <c r="D44" s="955"/>
      <c r="G44" s="1763"/>
    </row>
    <row r="45" spans="1:7">
      <c r="A45" s="964" t="s">
        <v>1357</v>
      </c>
      <c r="B45" s="964" t="s">
        <v>1356</v>
      </c>
      <c r="C45" s="978">
        <v>0.14510000000000001</v>
      </c>
      <c r="D45" s="955"/>
      <c r="G45" s="1763"/>
    </row>
    <row r="46" spans="1:7">
      <c r="A46" s="964" t="s">
        <v>1358</v>
      </c>
      <c r="B46" s="964" t="s">
        <v>1356</v>
      </c>
      <c r="C46" s="978">
        <v>4.3999999999999997E-2</v>
      </c>
      <c r="D46" s="955"/>
      <c r="G46" s="1763"/>
    </row>
    <row r="47" spans="1:7">
      <c r="A47" s="964" t="s">
        <v>1359</v>
      </c>
      <c r="B47" s="964" t="s">
        <v>1356</v>
      </c>
      <c r="C47" s="978">
        <v>5.4900000000000004E-2</v>
      </c>
      <c r="D47" s="955"/>
      <c r="G47" s="1763"/>
    </row>
    <row r="48" spans="1:7">
      <c r="A48" s="964" t="s">
        <v>1394</v>
      </c>
      <c r="B48" s="964" t="s">
        <v>1356</v>
      </c>
      <c r="C48" s="978">
        <v>6.59E-2</v>
      </c>
      <c r="D48" s="955"/>
      <c r="G48" s="1763"/>
    </row>
    <row r="49" spans="1:7">
      <c r="A49" s="964" t="s">
        <v>1360</v>
      </c>
      <c r="B49" s="964" t="s">
        <v>1356</v>
      </c>
      <c r="C49" s="978">
        <v>6.6699999999999995E-2</v>
      </c>
      <c r="D49" s="955"/>
      <c r="G49" s="1763"/>
    </row>
    <row r="50" spans="1:7">
      <c r="A50" s="964" t="s">
        <v>1361</v>
      </c>
      <c r="B50" s="964" t="s">
        <v>1356</v>
      </c>
      <c r="C50" s="978">
        <v>6.59E-2</v>
      </c>
      <c r="D50" s="955"/>
      <c r="G50" s="1763"/>
    </row>
    <row r="51" spans="1:7">
      <c r="A51" s="964" t="s">
        <v>1362</v>
      </c>
      <c r="B51" s="964" t="s">
        <v>1363</v>
      </c>
      <c r="C51" s="978">
        <v>0.05</v>
      </c>
      <c r="D51" s="955"/>
      <c r="G51" s="1763"/>
    </row>
    <row r="52" spans="1:7">
      <c r="A52" s="964" t="s">
        <v>1364</v>
      </c>
      <c r="B52" s="964" t="s">
        <v>1363</v>
      </c>
      <c r="C52" s="978">
        <v>6.6500000000000004E-2</v>
      </c>
      <c r="D52" s="955"/>
      <c r="G52" s="1763"/>
    </row>
    <row r="53" spans="1:7">
      <c r="A53" s="964"/>
      <c r="B53" s="964"/>
      <c r="D53" s="955"/>
    </row>
    <row r="54" spans="1:7">
      <c r="A54" s="964"/>
      <c r="B54" s="964"/>
      <c r="D54" s="955"/>
    </row>
    <row r="55" spans="1:7">
      <c r="A55" s="964"/>
      <c r="B55" s="962" t="s">
        <v>1365</v>
      </c>
      <c r="C55" s="963"/>
      <c r="D55" s="955"/>
    </row>
    <row r="56" spans="1:7">
      <c r="A56" s="964">
        <v>302</v>
      </c>
      <c r="B56" s="964" t="s">
        <v>1366</v>
      </c>
      <c r="D56" s="955"/>
    </row>
    <row r="57" spans="1:7">
      <c r="A57" s="964">
        <v>303</v>
      </c>
      <c r="B57" s="964" t="s">
        <v>1367</v>
      </c>
      <c r="D57" s="955"/>
    </row>
    <row r="58" spans="1:7">
      <c r="A58" s="977">
        <v>303.10000000000002</v>
      </c>
      <c r="B58" s="977" t="s">
        <v>1395</v>
      </c>
      <c r="C58" s="978">
        <v>0.5</v>
      </c>
      <c r="D58" s="955"/>
    </row>
    <row r="59" spans="1:7">
      <c r="A59" s="977">
        <v>303.2</v>
      </c>
      <c r="B59" s="977" t="s">
        <v>1368</v>
      </c>
      <c r="C59" s="978">
        <v>0.33333333333333331</v>
      </c>
      <c r="D59" s="955"/>
    </row>
    <row r="60" spans="1:7" ht="16.5" customHeight="1">
      <c r="A60" s="977">
        <v>303.3</v>
      </c>
      <c r="B60" s="977" t="s">
        <v>1369</v>
      </c>
      <c r="C60" s="978">
        <v>0.25</v>
      </c>
      <c r="D60" s="965"/>
      <c r="E60" s="965"/>
      <c r="F60" s="965"/>
      <c r="G60" s="965"/>
    </row>
    <row r="61" spans="1:7">
      <c r="A61" s="977">
        <v>303.39999999999998</v>
      </c>
      <c r="B61" s="977" t="s">
        <v>1370</v>
      </c>
      <c r="C61" s="978">
        <v>0.2</v>
      </c>
    </row>
    <row r="62" spans="1:7">
      <c r="A62" s="977">
        <v>303.5</v>
      </c>
      <c r="B62" s="977" t="s">
        <v>1371</v>
      </c>
      <c r="C62" s="978">
        <v>0.14285714285714285</v>
      </c>
    </row>
    <row r="63" spans="1:7">
      <c r="A63" s="977">
        <v>303.60000000000002</v>
      </c>
      <c r="B63" s="977" t="s">
        <v>1372</v>
      </c>
      <c r="C63" s="978">
        <v>0.1</v>
      </c>
      <c r="D63" s="955"/>
    </row>
    <row r="64" spans="1:7">
      <c r="A64" s="977">
        <v>303.7</v>
      </c>
      <c r="B64" s="977" t="s">
        <v>1373</v>
      </c>
      <c r="C64" s="978">
        <v>8.3333333333333329E-2</v>
      </c>
      <c r="D64" s="955"/>
    </row>
    <row r="65" spans="1:7" ht="16.5" customHeight="1">
      <c r="A65" s="977">
        <v>303.8</v>
      </c>
      <c r="B65" s="977" t="s">
        <v>1374</v>
      </c>
      <c r="C65" s="978">
        <v>6.6666666666666666E-2</v>
      </c>
      <c r="D65" s="965"/>
      <c r="E65" s="965"/>
      <c r="F65" s="965"/>
      <c r="G65" s="965"/>
    </row>
    <row r="66" spans="1:7">
      <c r="A66" s="977"/>
      <c r="B66" s="1724"/>
    </row>
    <row r="67" spans="1:7">
      <c r="A67" s="977"/>
      <c r="B67" s="977"/>
    </row>
    <row r="68" spans="1:7">
      <c r="A68" s="977"/>
      <c r="B68" s="977"/>
    </row>
    <row r="69" spans="1:7">
      <c r="A69" s="977"/>
      <c r="B69" s="977"/>
    </row>
    <row r="70" spans="1:7" ht="168">
      <c r="A70" s="1744" t="s">
        <v>1965</v>
      </c>
      <c r="B70" s="1725" t="s">
        <v>1970</v>
      </c>
    </row>
    <row r="71" spans="1:7">
      <c r="A71" s="1745"/>
      <c r="B71" s="977"/>
    </row>
    <row r="72" spans="1:7" ht="148.5" customHeight="1">
      <c r="A72" s="1744" t="s">
        <v>1966</v>
      </c>
      <c r="B72" s="1726" t="s">
        <v>1971</v>
      </c>
    </row>
    <row r="73" spans="1:7">
      <c r="A73" s="1746"/>
    </row>
    <row r="74" spans="1:7" ht="28">
      <c r="A74" s="1744" t="s">
        <v>1967</v>
      </c>
      <c r="B74" s="1726" t="s">
        <v>2134</v>
      </c>
    </row>
    <row r="75" spans="1:7">
      <c r="B75" s="1720"/>
    </row>
  </sheetData>
  <mergeCells count="2">
    <mergeCell ref="A1:C1"/>
    <mergeCell ref="A2:C2"/>
  </mergeCells>
  <pageMargins left="0.25" right="0.25" top="0.75" bottom="0.75" header="0.3" footer="0.3"/>
  <pageSetup scale="66" fitToHeight="2" orientation="landscape" r:id="rId1"/>
  <rowBreaks count="1" manualBreakCount="1">
    <brk id="5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16</vt:i4>
      </vt:variant>
    </vt:vector>
  </HeadingPairs>
  <TitlesOfParts>
    <vt:vector size="41" baseType="lpstr">
      <vt:lpstr>ATT H-9A</vt:lpstr>
      <vt:lpstr>1A - ADIT Summary</vt:lpstr>
      <vt:lpstr>1B - ADIT EOY</vt:lpstr>
      <vt:lpstr>1C - ADIT BOY</vt:lpstr>
      <vt:lpstr>1D - EDIT Rate Base Adjustment</vt:lpstr>
      <vt:lpstr>1E - ADIT Amortization</vt:lpstr>
      <vt:lpstr>1F - ADIT Remeasurement</vt:lpstr>
      <vt:lpstr>2 - Other Tax</vt:lpstr>
      <vt:lpstr>Prop taxes to function</vt:lpstr>
      <vt:lpstr>3 - Revenue Credits</vt:lpstr>
      <vt:lpstr>4 - 100 Basis Pt ROE</vt:lpstr>
      <vt:lpstr>5 - Cost Support 1</vt:lpstr>
      <vt:lpstr>5a Affiliate Allocations</vt:lpstr>
      <vt:lpstr>5b EBSC Affiliate Allocations</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'9A - Gross Plant &amp; ARO'!a</vt:lpstr>
      <vt:lpstr>'12- Depreciation Rates'!Print_Area</vt:lpstr>
      <vt:lpstr>'1A - ADIT Summary'!Print_Area</vt:lpstr>
      <vt:lpstr>'1B - ADIT EOY'!Print_Area</vt:lpstr>
      <vt:lpstr>'1C - ADIT BOY'!Print_Area</vt:lpstr>
      <vt:lpstr>'1D - EDIT Rate Base Adjustment'!Print_Area</vt:lpstr>
      <vt:lpstr>'1E - ADIT Amortization'!Print_Area</vt:lpstr>
      <vt:lpstr>'1F - ADIT Remeasurement'!Print_Area</vt:lpstr>
      <vt:lpstr>'3 - Revenue Credits'!Print_Area</vt:lpstr>
      <vt:lpstr>'5a Affiliate Allocations'!Print_Area</vt:lpstr>
      <vt:lpstr>'5b EBSC Affiliate Allocations'!Print_Area</vt:lpstr>
      <vt:lpstr>'6B - True-Up Interest '!Print_Area</vt:lpstr>
      <vt:lpstr>'6-Project Rev Req'!Print_Area</vt:lpstr>
      <vt:lpstr>'7 - Cap Add WS'!Print_Area</vt:lpstr>
      <vt:lpstr>'ATT H-9A'!Print_Area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Kennedy, Geneva:(BSC)</cp:lastModifiedBy>
  <cp:lastPrinted>2023-05-12T16:53:02Z</cp:lastPrinted>
  <dcterms:created xsi:type="dcterms:W3CDTF">2018-05-08T13:51:25Z</dcterms:created>
  <dcterms:modified xsi:type="dcterms:W3CDTF">2023-05-12T17:48:18Z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SV_HIDDEN_GRID_QUERY_LIST_4F35BF76-6C0D-4D9B-82B2-816C12CF3733">
    <vt:lpwstr>empty_477D106A-C0D6-4607-AEBD-E2C9D60EA279</vt:lpwstr>
  </property>
  <property fmtid="{D5CDD505-2E9C-101B-9397-08002B2CF9AE}" pid="11" name="MSIP_Label_c968b3d1-e05f-4796-9c23-acaf26d588cb_Enabled">
    <vt:lpwstr>true</vt:lpwstr>
  </property>
  <property fmtid="{D5CDD505-2E9C-101B-9397-08002B2CF9AE}" pid="12" name="MSIP_Label_c968b3d1-e05f-4796-9c23-acaf26d588cb_SetDate">
    <vt:lpwstr>2022-04-08T13:30:15Z</vt:lpwstr>
  </property>
  <property fmtid="{D5CDD505-2E9C-101B-9397-08002B2CF9AE}" pid="13" name="MSIP_Label_c968b3d1-e05f-4796-9c23-acaf26d588cb_Method">
    <vt:lpwstr>Standard</vt:lpwstr>
  </property>
  <property fmtid="{D5CDD505-2E9C-101B-9397-08002B2CF9AE}" pid="14" name="MSIP_Label_c968b3d1-e05f-4796-9c23-acaf26d588cb_Name">
    <vt:lpwstr>Company Confidential Information</vt:lpwstr>
  </property>
  <property fmtid="{D5CDD505-2E9C-101B-9397-08002B2CF9AE}" pid="15" name="MSIP_Label_c968b3d1-e05f-4796-9c23-acaf26d588cb_SiteId">
    <vt:lpwstr>600d01fc-055f-49c6-868f-3ecfcc791773</vt:lpwstr>
  </property>
  <property fmtid="{D5CDD505-2E9C-101B-9397-08002B2CF9AE}" pid="16" name="MSIP_Label_c968b3d1-e05f-4796-9c23-acaf26d588cb_ActionId">
    <vt:lpwstr>a607e724-3a0c-4857-81c1-b0c64c5ead4a</vt:lpwstr>
  </property>
  <property fmtid="{D5CDD505-2E9C-101B-9397-08002B2CF9AE}" pid="17" name="MSIP_Label_c968b3d1-e05f-4796-9c23-acaf26d588cb_ContentBits">
    <vt:lpwstr>0</vt:lpwstr>
  </property>
</Properties>
</file>